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36" yWindow="65176" windowWidth="15492" windowHeight="10380" tabRatio="831" activeTab="6"/>
  </bookViews>
  <sheets>
    <sheet name="дод.1" sheetId="1" r:id="rId1"/>
    <sheet name="дод.2" sheetId="2" r:id="rId2"/>
    <sheet name="дод.3" sheetId="3" r:id="rId3"/>
    <sheet name="дод.5" sheetId="4" r:id="rId4"/>
    <sheet name="дод. 6" sheetId="5" r:id="rId5"/>
    <sheet name="дод.7" sheetId="6" r:id="rId6"/>
    <sheet name="дод 1 до поясн" sheetId="7" r:id="rId7"/>
  </sheets>
  <definedNames>
    <definedName name="_xlfn.AGGREGATE" hidden="1">#NAME?</definedName>
    <definedName name="_xlnm.Print_Titles" localSheetId="6">'дод 1 до поясн'!$3:$3</definedName>
    <definedName name="_xlnm.Print_Titles" localSheetId="4">'дод. 6'!$7:$7</definedName>
    <definedName name="_xlnm.Print_Titles" localSheetId="0">'дод.1'!$6:$7</definedName>
    <definedName name="_xlnm.Print_Titles" localSheetId="1">'дод.2'!$6:$6</definedName>
    <definedName name="_xlnm.Print_Titles" localSheetId="2">'дод.3'!$7:$10</definedName>
    <definedName name="_xlnm.Print_Titles" localSheetId="5">'дод.7'!$8:$9</definedName>
    <definedName name="_xlnm.Print_Area" localSheetId="6">'дод 1 до поясн'!$A$1:$C$121</definedName>
    <definedName name="_xlnm.Print_Area" localSheetId="4">'дод. 6'!$A$1:$J$810</definedName>
    <definedName name="_xlnm.Print_Area" localSheetId="0">'дод.1'!$A$1:$F$183</definedName>
    <definedName name="_xlnm.Print_Area" localSheetId="1">'дод.2'!$A$1:$F$52</definedName>
    <definedName name="_xlnm.Print_Area" localSheetId="2">'дод.3'!$A$1:$V$393</definedName>
    <definedName name="_xlnm.Print_Area" localSheetId="5">'дод.7'!$D$1:$O$190</definedName>
  </definedNames>
  <calcPr fullCalcOnLoad="1"/>
</workbook>
</file>

<file path=xl/comments6.xml><?xml version="1.0" encoding="utf-8"?>
<comments xmlns="http://schemas.openxmlformats.org/spreadsheetml/2006/main">
  <authors>
    <author>plan3</author>
  </authors>
  <commentList>
    <comment ref="D57"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<sst xmlns="http://schemas.openxmlformats.org/spreadsheetml/2006/main" count="3295" uniqueCount="1906">
  <si>
    <t>Збереження природно-заповідного фонду</t>
  </si>
  <si>
    <t>Міська програма розвитку фізичної культури та спорту у м. Черкаси на 2017-2021 роки</t>
  </si>
  <si>
    <t>рішення міської ради від 19.04.2018 № 2-3366 (зі змінами)</t>
  </si>
  <si>
    <t>рішення міської ради від 13.02.2017 № 2-1648</t>
  </si>
  <si>
    <t>рішення міської ради від 13.02.2017 № 2-1649 (зі змінами)</t>
  </si>
  <si>
    <t xml:space="preserve">в т.ч.:  Міська програма здійснення заходів, що не могли бути передбачені під час складання бюджету та порядок надання матеріальної допомоги громадянам міста </t>
  </si>
  <si>
    <t>2017680</t>
  </si>
  <si>
    <t>Членські внески до асоціацій органів місцевого самоврядування</t>
  </si>
  <si>
    <t>2018220</t>
  </si>
  <si>
    <t>2018230</t>
  </si>
  <si>
    <t>Інші заходи громадського порядку та безпеки</t>
  </si>
  <si>
    <t>1217421</t>
  </si>
  <si>
    <t>7421</t>
  </si>
  <si>
    <t>Утримання та розвиток наземного електротранспорту</t>
  </si>
  <si>
    <t>Програма розроблення містобудівної документації у м. Черкаси на 2016-2020 роки</t>
  </si>
  <si>
    <t>Реалізація інших заходів щодо соціально-економічного розвитку територій</t>
  </si>
  <si>
    <t>0611170</t>
  </si>
  <si>
    <t>Забезпечення діяльності інклюзивно-ресурсних центрів</t>
  </si>
  <si>
    <t>Надання допомоги на дітей, хворих на тяжкі перинатальні ураження нервової системи, тяжкі вроджені вади розвитку, рідкісні органні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</si>
  <si>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 xml:space="preserve">Програма "Громадський бюджет міста Черкаси на 2015-2019 роки" </t>
  </si>
  <si>
    <t>в т.ч. Міська Програма соціальної підтримки мешканців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t>
  </si>
  <si>
    <t>Міська програма соціальної підтримки мешканців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t>
  </si>
  <si>
    <t xml:space="preserve">Міська програма виплати муніципальних стипендій учням закладів загальної середньої та позашкільної освіти за досягнення у навчанні, позакласній і позашкільній діяльності та премій учням - переможцям Міжнародних та Всеукраїнських олімпіад, конкурсів, турнірів, педагогічним і науково-педагогічним працівникам, які підготували цих переможців, на 2018-2022 роки </t>
  </si>
  <si>
    <t>Міська програма соціального захисту окремих категорій громадян - мешканців м. Черкаси, які мають право на пільги відповідно до законодавства</t>
  </si>
  <si>
    <t>Надання пільг окремим категоріям громадян з оплати послуг зв'язку</t>
  </si>
  <si>
    <t xml:space="preserve">на виплату грошової компенсації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 </t>
  </si>
  <si>
    <t xml:space="preserve">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 </t>
  </si>
  <si>
    <t xml:space="preserve">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 </t>
  </si>
  <si>
    <t xml:space="preserve">на реалізацію заходів, спрямованих на підвищення якості освіти за рахунок відповідної субвенції з державного бюджету * </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</si>
  <si>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</si>
  <si>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</si>
  <si>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</si>
  <si>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0813223</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</si>
  <si>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</si>
  <si>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0813224</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</si>
  <si>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</si>
  <si>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Міська програма соціальної підтримки мешканців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t>
  </si>
  <si>
    <t>Програма підтримки об'єднань співвласників багатоквартирних будинків (ОСББ, асоціацій ОСББ) у м. Черкаси "Формування відповідального власника житла" на 2019-2020 роки</t>
  </si>
  <si>
    <t>Інші заходи у сфері електротранспорту</t>
  </si>
  <si>
    <t>Міська Програма соціальної підтримки мешканців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t>
  </si>
  <si>
    <t>в т.ч.  Міська програма управління об'єктами комунальної власності територіальної громади м. Черкаси на 2017-2021 роки</t>
  </si>
  <si>
    <t>2717693</t>
  </si>
  <si>
    <t>7693</t>
  </si>
  <si>
    <t>2717640</t>
  </si>
  <si>
    <t>7640</t>
  </si>
  <si>
    <t>Заходи з енергозбереження</t>
  </si>
  <si>
    <t>0470</t>
  </si>
  <si>
    <t>Програма розвитку міського електротранспорту у м. Черкаси на 2017-2020 роки</t>
  </si>
  <si>
    <t>Програма забезпечення рятувальних заходів на водних об'єктах м. Черкаси комунальною установою "Черкаська міська комунальна аварійно-рятувальна служба" на 2018-2020 роки</t>
  </si>
  <si>
    <t>1610180</t>
  </si>
  <si>
    <t>2010180</t>
  </si>
  <si>
    <t xml:space="preserve">Міська програма здійснення заходів, що не могли бути передбачені під час складання бюджету та порядок надання матеріальної допомоги громадянам міста </t>
  </si>
  <si>
    <t>7680</t>
  </si>
  <si>
    <t>8220</t>
  </si>
  <si>
    <t>8230</t>
  </si>
  <si>
    <t>8410</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</si>
  <si>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</si>
  <si>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</si>
  <si>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</si>
  <si>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 xml:space="preserve">Фінансування за борговими операціями </t>
  </si>
  <si>
    <t xml:space="preserve">Погашення </t>
  </si>
  <si>
    <t xml:space="preserve">Внутрішні зобов'язання </t>
  </si>
  <si>
    <t xml:space="preserve">Середньострокові зобов'язання </t>
  </si>
  <si>
    <t>Зовнішнє фінансування</t>
  </si>
  <si>
    <t>151ххх1</t>
  </si>
  <si>
    <t>Департамент економіки та розвитку ЧМР</t>
  </si>
  <si>
    <t>Програма підвищення енергоефективності та зменшення споживання енергоресурсів у місті Черкасах</t>
  </si>
  <si>
    <t>Департамент фінансової політики ЧМР</t>
  </si>
  <si>
    <t>8600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</si>
  <si>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</si>
  <si>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</si>
  <si>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0813192</t>
  </si>
  <si>
    <t>Заходи, пов'язані з поліпшенням питної води</t>
  </si>
  <si>
    <t>0813240</t>
  </si>
  <si>
    <t>0813242</t>
  </si>
  <si>
    <t>Інші заходи у сфері соціального захисту і соціального забезпечення</t>
  </si>
  <si>
    <t>Інша діяльність у сфері державного управління</t>
  </si>
  <si>
    <t>2713210</t>
  </si>
  <si>
    <t>3210</t>
  </si>
  <si>
    <t>1213036</t>
  </si>
  <si>
    <t>3036</t>
  </si>
  <si>
    <t>Програма для забезпечення виконання рішень суду 2017-2020 роки</t>
  </si>
  <si>
    <t>рішення міської ради від 12.05.2017 № 2-1995 (зі змінами)</t>
  </si>
  <si>
    <t>в т.ч. субвенція з обласного бюджету (на виконання обласної програми надання медичної допомоги хворим нефрологічного профілю)</t>
  </si>
  <si>
    <t>в т.ч. реалізація проектів-переможців визначених згідно Програми "Громадський бюджет міста Черкаси на 2015-2019 роки"</t>
  </si>
  <si>
    <t>в т.ч. Програма зайнятості населення м. Черкаси на 2014-2018 роки</t>
  </si>
  <si>
    <t>в т.ч. Програма розвитку дизайну міського середовища та зовнішньої реклами у м. Черкаси на 2016-2018 роки</t>
  </si>
  <si>
    <t>в т.ч. міська цільова Програма організації і сприяння приписці громадян до призовних дільниць та їх призову на строкову військову службу у 2017 - 2021</t>
  </si>
  <si>
    <t>в т.ч. Програма забезпечення правопорядку в м. Черкаси на 2016-2020 роки</t>
  </si>
  <si>
    <t>в т.ч. Програма сприяння залученню інвестицій та розвитку підприємництва у м.Черкаси на 2017-2021 роки</t>
  </si>
  <si>
    <t>в т.ч. Програма розроблення стратегічного плану розвитку м. Черкаси до 2030 року на 2017-2020 роки</t>
  </si>
  <si>
    <t>Найменування 
згідно з класифікацією фінансування бюджету</t>
  </si>
  <si>
    <t>Загальний фонд</t>
  </si>
  <si>
    <t>в т.ч. бюджет розвитку</t>
  </si>
  <si>
    <t>Внутрішнє фінансування</t>
  </si>
  <si>
    <t>203000</t>
  </si>
  <si>
    <t>Інше внутрішнє фінансування</t>
  </si>
  <si>
    <t>203400</t>
  </si>
  <si>
    <t xml:space="preserve">Фінансування за рахунок коштів єдиного казначейського рахунку </t>
  </si>
  <si>
    <t>Одержано</t>
  </si>
  <si>
    <t>203420</t>
  </si>
  <si>
    <t>Повернено</t>
  </si>
  <si>
    <t>0380</t>
  </si>
  <si>
    <t>1010</t>
  </si>
  <si>
    <t>1010 </t>
  </si>
  <si>
    <t>0111</t>
  </si>
  <si>
    <t>0180</t>
  </si>
  <si>
    <t>Реалізація державної політики у молодіжній сфері</t>
  </si>
  <si>
    <t>Розвиток дитячо-юнацького та резервного спорту</t>
  </si>
  <si>
    <t>в т.ч.  субвенція з державного бюджету на соціально-економічний розвиток</t>
  </si>
  <si>
    <t>0813080</t>
  </si>
  <si>
    <t>0813050</t>
  </si>
  <si>
    <t>0813047</t>
  </si>
  <si>
    <t>0813046</t>
  </si>
  <si>
    <t>0813045</t>
  </si>
  <si>
    <t>0813044</t>
  </si>
  <si>
    <t>0813043</t>
  </si>
  <si>
    <t>0813041</t>
  </si>
  <si>
    <t>0813042</t>
  </si>
  <si>
    <t>0813040</t>
  </si>
  <si>
    <t>0813021</t>
  </si>
  <si>
    <t>0813020</t>
  </si>
  <si>
    <t>0813012</t>
  </si>
  <si>
    <t>0813011</t>
  </si>
  <si>
    <t>0813010</t>
  </si>
  <si>
    <t>0813000</t>
  </si>
  <si>
    <t>0811060</t>
  </si>
  <si>
    <t>0810160</t>
  </si>
  <si>
    <t>0800000</t>
  </si>
  <si>
    <t>0810000</t>
  </si>
  <si>
    <t>0713050</t>
  </si>
  <si>
    <t>0712010</t>
  </si>
  <si>
    <t>0712000</t>
  </si>
  <si>
    <t>Інші заходи пов'язані з економічною діяльністю</t>
  </si>
  <si>
    <t xml:space="preserve">Надання допомоги при усиновленні дитини </t>
  </si>
  <si>
    <t>1216071</t>
  </si>
  <si>
    <t>Програма розвитку земельних відносин та використання і охорони  земель в м. Черкаси на 2019-2023 роки</t>
  </si>
  <si>
    <t>Програма розвитку дизайну міського середовища та зовнішньої реклами в м. Черкаси на 2019-2021 роки</t>
  </si>
  <si>
    <t>6090</t>
  </si>
  <si>
    <t>Відшкодування різниці між розміром ціни (тарифу) на житлово-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</si>
  <si>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рішення міської ради від 16.06.2017 № 2-2203 (зі змінами)</t>
  </si>
  <si>
    <t>0900000</t>
  </si>
  <si>
    <t>0910000</t>
  </si>
  <si>
    <t>0910160</t>
  </si>
  <si>
    <t xml:space="preserve"> Служба у справах дітей ЧМР</t>
  </si>
  <si>
    <t>1617321</t>
  </si>
  <si>
    <t>1617310</t>
  </si>
  <si>
    <t>2100</t>
  </si>
  <si>
    <t>2152</t>
  </si>
  <si>
    <t>2151</t>
  </si>
  <si>
    <t>Надання реабілітаційних послуг особам з інвалідністю та дітям з інвалідністю</t>
  </si>
  <si>
    <t>0813105</t>
  </si>
  <si>
    <t>в т.ч. Програма для забезпечення виконання рішень суду 2017-2020 роки</t>
  </si>
  <si>
    <t>6430</t>
  </si>
  <si>
    <t>в т.ч.  субвенція з державного бюджету</t>
  </si>
  <si>
    <t>Субвенція:</t>
  </si>
  <si>
    <t>2144</t>
  </si>
  <si>
    <t>Програма оздоровлення та відпочинку дітей м.Черкаси на 2016-2020 роки</t>
  </si>
  <si>
    <t>Фінансування міського бюджету на 2020 рік</t>
  </si>
  <si>
    <t>РОЗПОДІЛ
видатків міського бюджету на 2020 рік</t>
  </si>
  <si>
    <t>Міжбюджетні трансферти на 2020 рік</t>
  </si>
  <si>
    <t>* Рішення Черкаської обласної ради від 18.12.2018 № 28-20/VII "Про обласний бюджет
Черкаської області на 2019 рік" (зі змінами)</t>
  </si>
  <si>
    <t>(код бюджету)</t>
  </si>
  <si>
    <t>Усього</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</si>
  <si>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</si>
  <si>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</si>
  <si>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</si>
  <si>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Класифікації доходів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</si>
  <si>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</si>
  <si>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УСЬОГО</t>
  </si>
  <si>
    <t>Загальне фінансування</t>
  </si>
  <si>
    <t>Програма організації безкоштовного харчування окремих категорій учнів 1-11 класів закладів загальної середньої освіти комунальної власності міста Черкаси на 2018-2021 роки</t>
  </si>
  <si>
    <t>рішення міської ради від 21.03.2019 № 2-4214 (зі змінами)</t>
  </si>
  <si>
    <t>рішення міської ради від 24.01.2019 № 2-3905 (зі змінами)</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</si>
  <si>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</si>
  <si>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рішення міської ради від 17.11.2016 № 2-1261 (зі змінами)</t>
  </si>
  <si>
    <t>в т.ч. Програма забезпечення техногенної та пожежної безпеки на території м. Черкаси, захисту населення від надзвичайних ситуацій техногенного, природного, соціального, воєнного характеру на 2019-2022 роки</t>
  </si>
  <si>
    <t>в т.ч. Програма розвитку земельних відносин та використання і охорони  земель в м. Черкаси на 2019-2023 роки</t>
  </si>
  <si>
    <t>2317680</t>
  </si>
  <si>
    <t xml:space="preserve">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 </t>
  </si>
  <si>
    <t>Програма організації та проведення у м. Черкаси державних та місцевих свят, відзначення знаменних і пам'ятних дат, визначних історичних подій, інших заходів на 2017-2021 роки</t>
  </si>
  <si>
    <t>Програма організації та проведення у м. Черкаси державних та місцевих свят, відзначення знаменних і пам'ятних дат, визначних історичних подій, інших заходів на 2019-2023 роки</t>
  </si>
  <si>
    <t>Реверсна дотація *</t>
  </si>
  <si>
    <t>Міська програма пільгового житлового кредитування учасників антитерористичної операції і бійців-добровольців, які брали участь у захисті територіальної цілісності та державного суверенітету на Сході України та членів їх сімей в м.Черкаси на 2016 - 2020 роки</t>
  </si>
  <si>
    <t>рішення міської ради від 05.03.2019 № 2-4035</t>
  </si>
  <si>
    <t>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на 2018-2020 роки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</si>
  <si>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</si>
  <si>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</si>
  <si>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</si>
  <si>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Підготовка робітничих кадрів закладами професійної (професійно-технічної) освіти та іншими закладами освіти</t>
  </si>
  <si>
    <t>Методичне забезпечення діяльності закладів освіти</t>
  </si>
  <si>
    <t>Міська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підпорядкованих департаменту освіти та гуманітарної політики ЧМР на 2020-2022 роки</t>
  </si>
  <si>
    <t>рішення міської ради від 13.12.2019 № 2-5407</t>
  </si>
  <si>
    <t>Міська цільова комплексна програма національно-патріотичного виховання дітей та молоді на 2019-2022 роки</t>
  </si>
  <si>
    <t>рішення міської ради від 04.10.2019 № 2-5288</t>
  </si>
  <si>
    <t>Міська програма "Мистецькі Черкаси" на 2020-2024 роки</t>
  </si>
  <si>
    <t>рішення міської ради від 13.12.2019 № 2-5413</t>
  </si>
  <si>
    <t>рішення міської ради від 13.12.2019 № 2-5414</t>
  </si>
  <si>
    <t>рішення міської ради від 13.12.2019 № 2-5375</t>
  </si>
  <si>
    <t>рішення міської ради від 13.02.2017 № 2-1648 (зі змінами)</t>
  </si>
  <si>
    <t>в т.ч. виплата премій по програмі місцевих стимулів для медичних працівників міста Черкаси на 2020 рік</t>
  </si>
  <si>
    <t>рішення міської ради від 26.12.2019 № 2-5574</t>
  </si>
  <si>
    <t>Міська цільова програм "Громадський бюджет міста Черкаси на 2019-2022 роки"</t>
  </si>
  <si>
    <t>Міська програма "Відпочинок працівників закладів освіти міста Черкаси на 2020-2021"</t>
  </si>
  <si>
    <t>рішення міської ради від 21.03.2019 № 2-4172 (зі змінами)</t>
  </si>
  <si>
    <t>рішення міської ради від 24.01.2019 № 2-3754 (зі змінами)</t>
  </si>
  <si>
    <t>здійснення переданих з державного бюджету видатків у утримання закладів освіти та охорони здоров’я **</t>
  </si>
  <si>
    <t>інші субвенції **</t>
  </si>
  <si>
    <t>* згідно Закону України від 14.11.2019 № 294-IX "Про Державний бюджет на 2020 рік"</t>
  </si>
  <si>
    <t>Програма співфінансування  капітального ремонту та реконструкції багатоквартирних житлових  будинків та їх прибудинкових територій (крім ОСББ та ЖБК) у місті Черкаси на 2019-2022 роки</t>
  </si>
  <si>
    <t>рішення міської ради від 22.08.2019 № 2-4732 (зі змінами)</t>
  </si>
  <si>
    <t>2317330</t>
  </si>
  <si>
    <t>Будівництво інших об'єктів комунальної власності</t>
  </si>
  <si>
    <t>7330</t>
  </si>
  <si>
    <t>2717330</t>
  </si>
  <si>
    <t>0817323</t>
  </si>
  <si>
    <t>0817330</t>
  </si>
  <si>
    <t>Будівництво установ та закладів соціальної сфери</t>
  </si>
  <si>
    <t>3718881</t>
  </si>
  <si>
    <t>Міська програма стимулювання педагогічних працівників закладів дошкільної освіти м. Черкаси та дошкільного підрозділу Черкаського навчально-виховного об'єднання "Дошкільний навчальний заклад - загальноосвітня школа І-ІІ ступенів № 36" ім. Героїв-прикордонників Черкаської міської ради Черкаської області на 2020-2021 роки</t>
  </si>
  <si>
    <t>Міська програма "Багатопрофільна стаціонарна медична допомога населенню міста Черкаси на 2019-2020 роки"</t>
  </si>
  <si>
    <t>рішення міської ради від 24.01.2019 № 2-3743 (зі змінами)</t>
  </si>
  <si>
    <t>Міська програма забезпечення лікувальним харчуванням тяжкохворих та дітей, хворих на фенілкетонурію віком від 3 до 18 років, на 2017 - 2020 роки</t>
  </si>
  <si>
    <t>Міська програма забезпечення ефективним лікуванням дітей, хворих на ЮРА, цистиноз, двобічну нейросенсорну глухоту та хворих на муковісцидоз на 2017-2020 роки</t>
  </si>
  <si>
    <t>Міська програма "Лікарсько-акушерська допомога жителям міста Черкаси на 2019-2020 роки"</t>
  </si>
  <si>
    <t>рішення міської ради від 24.01.2019 № 2-3744 (зі змінами)</t>
  </si>
  <si>
    <t>Міська програма "Амбулаторно-поліклінічна допомога жителям міста Черкаси на 2019-2020 роки"</t>
  </si>
  <si>
    <t>рішення міської ради від 24.01.2019 № 2-3742 (зі змінами)</t>
  </si>
  <si>
    <t>Міська програма "Надання комплексної медичної реабілітації мешканцям міста Черкаси на 2019-2020 роки"</t>
  </si>
  <si>
    <t>рішення міської ради від 24.01.2019 № 2-3740 (зі змінами)</t>
  </si>
  <si>
    <t>Міська програма "Стоматологічна допомога населенню міста Черкаси на 2019-2020 роки"</t>
  </si>
  <si>
    <t>рішення міської ради від 24.01.2019 № 2-3745 (зі змінами)</t>
  </si>
  <si>
    <t>Міська програма "Первинна медична допомога жителям міста Черкаси на 2020 рік"</t>
  </si>
  <si>
    <t>рішення міської ради від 26.12.2019 № 2-5565</t>
  </si>
  <si>
    <t>рішення міської ради від 24.01.2019 № 2-3747 (зі змінами)</t>
  </si>
  <si>
    <t>рішення міської ради від 24.01.2019 № 2-3746 (зі змінами)</t>
  </si>
  <si>
    <t>0616082</t>
  </si>
  <si>
    <t>Придбання житла для окремих категорій населення відповідно до законодавства</t>
  </si>
  <si>
    <t>грн</t>
  </si>
  <si>
    <t>в т.ч. субвенції з державного бюджету на надання державної підтримки особам з особливими освітніми потребами</t>
  </si>
  <si>
    <t>в т.ч. 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</si>
  <si>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в т.ч. субвенція з місцевого бюджету на здійснення переданих видатків у сфері освіти за рахунок коштів освітньої субвенції</t>
  </si>
  <si>
    <t xml:space="preserve">в т.ч. субвенція  з місцевого бюджету на здійснення переданих видатків у сфері охорони здоров’я за рахунок коштів медичної субвенції </t>
  </si>
  <si>
    <t>рішення міської ради від 22.08.2019 № 2-4724 (зі змінами)</t>
  </si>
  <si>
    <t>рішення міської ради від 21.03.2019 № 2-4224 (зі змінами)</t>
  </si>
  <si>
    <t xml:space="preserve">Міська програма соціальної підтримки мешканців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 </t>
  </si>
  <si>
    <t>рішення міської ради від 12.06.2018 № 2-3420 (зі змінами)</t>
  </si>
  <si>
    <t>Міська програма взаємодії органів місцевого самоврядування зі ЗМІ шляхом висвітлення діяльності та розміщення соціальної реклами на 2020-2024 роки</t>
  </si>
  <si>
    <t>рішення міської ради від 20.02.2020 № 2-5686</t>
  </si>
  <si>
    <t>в т.ч. субвенція з державного бюджету на надання державної підтримки особам з особливими освітніми потребами</t>
  </si>
  <si>
    <t>в т.ч. Міська цільова Програма організації і сприяння приписці громадян до призовних дільниць та їх призову на строкову військову службу у 2017 - 2021</t>
  </si>
  <si>
    <t>0617361</t>
  </si>
  <si>
    <t>Співфінансування інвестиційних проектів, що реалізуються за рахунок коштів державного фонду регіонального розвитку</t>
  </si>
  <si>
    <t>Надання субвенції з місцевого бюджету на придбання сценічних костюмів капелі бандуристів комунального закладу «Об’єднання художніх колективів» Черкаської обласної ради» для участі у відкритому міському фестивалі бандурного мистецтва «Cherkasy Bandura Music Fest»</t>
  </si>
  <si>
    <t>Субвенція обласному бюджету на об'єкт "Реконструкція Черкаського академічного обласного українського музично-драматичного театру імені Т.Г. Шевченка по бульв. Шевченка, 234 у м. Черкасах з метою ліквідації наслідків надзвичайної ситуації техногенного характеру внаслідок пожежі, яка сталася 01.07.2015 в приміщенні театру. ІІ черга"</t>
  </si>
  <si>
    <t>Субвенція з місцевого бюджету державному бюджету на виконання програми забезпечення техногенної та пожежної безпеки на території м. Черкаси, захисту населення від надзвичайних ситуацій техногенного, природного, соціального, воєнного характеру на 2019-2022 роки</t>
  </si>
  <si>
    <t xml:space="preserve">Субвенція з місцевого бюджету державному бюджету на виконання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t>
  </si>
  <si>
    <t>Міська програма "Забезпечення амбулаторного лікування хворих нефрологічного профілю мешканців міста Черкаси у І кварталі 2020 року та оплати послуг, які були надані у IV кварталі 2019 року"</t>
  </si>
  <si>
    <t>Міська програма місцевих стимулів для медичних працівників міста Черкаси на 2020 рік</t>
  </si>
  <si>
    <t>рішення міської ради від 16.03.2020 № 2-5695</t>
  </si>
  <si>
    <t>рішення міської ради від 16.03.2020 № 2-5696</t>
  </si>
  <si>
    <t>Міська програма забезпечення препаратами інсуліну хворих на цукровий діабет на 2019 - 2020 роки</t>
  </si>
  <si>
    <t>в т.ч. міська програма місцевих стимулів для медичних працівників міста Черкаси на 2020 рік</t>
  </si>
  <si>
    <t>рішення міської ради від 01.11.2017 № 2-2481 (зі змінами)</t>
  </si>
  <si>
    <t>Надання субвенції з місцевого бюджету 2-му державному пожежно-рятувальному загону УДСНС України у Черкаській області для придбання  костюмів спеціальних захисних для пожежних</t>
  </si>
  <si>
    <t>Фінансування за типом кредитора</t>
  </si>
  <si>
    <t>Фінансування за типом боргового зобов'язання</t>
  </si>
  <si>
    <t>РОЗПОДІЛ
витрат міського бюджету на реалізацію місцевих/регіональних програм у 2020 році</t>
  </si>
  <si>
    <t>в т.ч. Програма управління боргом на 2019-2027 роки</t>
  </si>
  <si>
    <t>в т.ч. розподілено коштів резервного фонду</t>
  </si>
  <si>
    <t>в т.ч. розподілено коштів резервоного фонду</t>
  </si>
  <si>
    <t>** згідно рішення Черкаської обласної ради від 20.12.2019 № 34-47/VII «Про обласний бюджет Черкаської області на 2020 рік» (зі змінами)</t>
  </si>
  <si>
    <t>рішення міської ради від 21.03.2019 № 2-4224</t>
  </si>
  <si>
    <t>рішення міської ради від 21.03.2019 № 2-4223</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</si>
  <si>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</si>
  <si>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</si>
  <si>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</si>
  <si>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</si>
  <si>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</si>
  <si>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0813084</t>
  </si>
  <si>
    <t>0813085</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</si>
  <si>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</si>
  <si>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3719800</t>
  </si>
  <si>
    <t xml:space="preserve">Директор департаменту фінансової політики      </t>
  </si>
  <si>
    <t>0210180</t>
  </si>
  <si>
    <t>в т.ч. програма фінансування заходів, пов'язаних із нагородженням міськими відзнаками громадян, трудових колективів на 2016-2020 роки</t>
  </si>
  <si>
    <t>3310160</t>
  </si>
  <si>
    <t>2310180</t>
  </si>
  <si>
    <t xml:space="preserve">Управління інформаційної політики ЧМР </t>
  </si>
  <si>
    <t>2318220</t>
  </si>
  <si>
    <t>2318230</t>
  </si>
  <si>
    <t>2318420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</si>
  <si>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</si>
  <si>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Видатки на поховання учасників бойових дій та осіб з інвалідністю внаслідок війни</t>
  </si>
  <si>
    <t>0813170</t>
  </si>
  <si>
    <t>Забезпечення реалізації окремих програм для осіб з інвалідністю</t>
  </si>
  <si>
    <t>0813171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</si>
  <si>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</si>
  <si>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</si>
  <si>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Встановлення телефонів особам з інвалідністю I і II груп</t>
  </si>
  <si>
    <t>0813210</t>
  </si>
  <si>
    <t>Департамент муніципальної інфраструктури ЧМР</t>
  </si>
  <si>
    <t>в т.ч. субвенція з обласного бюджету</t>
  </si>
  <si>
    <t>2717610</t>
  </si>
  <si>
    <t>Сприяння розвитку малого та середнього підприємництва</t>
  </si>
  <si>
    <t>0411</t>
  </si>
  <si>
    <t>Програма сприяння залученню інвестицій та розвитку підприємництва у м.Черкаси на 2017-2021 роки</t>
  </si>
  <si>
    <t>7610</t>
  </si>
  <si>
    <t>0712146</t>
  </si>
  <si>
    <t>Програми і централізовані заходи у галузі охорони здоров’я</t>
  </si>
  <si>
    <t>Інші програми, заклади та заходи у сфері охорони здоров’я</t>
  </si>
  <si>
    <t>Відшкодування вартості лікарських засобів для лікування окремих захворювань</t>
  </si>
  <si>
    <t>Централізовані заходи з лікування хворих на цукровий та нецукровий діабет</t>
  </si>
  <si>
    <t>в т.ч. субвенція з державного бюджету на відшкодування вартості лікарських засобів для лікування окремих захворювань</t>
  </si>
  <si>
    <t>0712140</t>
  </si>
  <si>
    <t>0712144</t>
  </si>
  <si>
    <t>2717370</t>
  </si>
  <si>
    <t>7370</t>
  </si>
  <si>
    <t>1617370</t>
  </si>
  <si>
    <t>0613230</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</si>
  <si>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</si>
  <si>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Обслуговування місцевого боргу </t>
  </si>
  <si>
    <t>Обслуговування місцевого боргу</t>
  </si>
  <si>
    <t>1217426</t>
  </si>
  <si>
    <t>7426</t>
  </si>
  <si>
    <t>Інші заходи у сфері елетротранспорту</t>
  </si>
  <si>
    <t>Програма підтримки засобів масової інформації та сприяння розвитку інформаційної сфери на 2015-2019 роки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</si>
  <si>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 (старе)</t>
  </si>
  <si>
    <t>0610</t>
  </si>
  <si>
    <t>14 Департамент охорони здоров'я та медичних послуг ЧМР</t>
  </si>
  <si>
    <t>080101</t>
  </si>
  <si>
    <t>0731</t>
  </si>
  <si>
    <t>080203</t>
  </si>
  <si>
    <t>0763</t>
  </si>
  <si>
    <t>1030</t>
  </si>
  <si>
    <t>Найменування місцевої (регіональної) програми</t>
  </si>
  <si>
    <t>0200000</t>
  </si>
  <si>
    <t xml:space="preserve">Департамент організаційного забезпечення ЧМР </t>
  </si>
  <si>
    <t xml:space="preserve">02 Департамент організаційного забезпечення ЧМР </t>
  </si>
  <si>
    <t>0210000</t>
  </si>
  <si>
    <t>Інші культурно-освітні заклади та заходи </t>
  </si>
  <si>
    <t>Засоби масової інформації</t>
  </si>
  <si>
    <t>5031</t>
  </si>
  <si>
    <t>рішення міської ради від 21.03.2019 № 2-4214</t>
  </si>
  <si>
    <t>73 Департамент економіки та розвитку ЧМР</t>
  </si>
  <si>
    <t>070802</t>
  </si>
  <si>
    <t>0990</t>
  </si>
  <si>
    <t>Департамент житлово-комунального комплексу ЧМР</t>
  </si>
  <si>
    <t>6000</t>
  </si>
  <si>
    <t xml:space="preserve">Житлово-комунальне господарство </t>
  </si>
  <si>
    <t>Програма забезпечення правопорядку в м. Черкаси на 2016-2020 роки</t>
  </si>
  <si>
    <t>Програма сприяння діяльності органів самоорганізації населення міста Черкаси на 2017-2021</t>
  </si>
  <si>
    <t>Кошти, що передаються із загального фонду бюджету до бюджету розвитку (спеціального фонду)</t>
  </si>
  <si>
    <t>8100</t>
  </si>
  <si>
    <t>250908</t>
  </si>
  <si>
    <t>1060</t>
  </si>
  <si>
    <t>Надання пільгового довгострокового кредиту громадянам на будівництво (реконструкцію) та придбання житла</t>
  </si>
  <si>
    <t>…</t>
  </si>
  <si>
    <t>Код типової відомчої класифікації видатків</t>
  </si>
  <si>
    <t>Код тимчасової класифікації видатків та кредитування місцевого бюджету</t>
  </si>
  <si>
    <t>Керівництво і управління у відповідній сфері у містах (місті Києві), селищах, селах, об’єднаних територіальних громадах</t>
  </si>
  <si>
    <t>3700000</t>
  </si>
  <si>
    <t>3710000</t>
  </si>
  <si>
    <t>3710160</t>
  </si>
  <si>
    <t>2700000</t>
  </si>
  <si>
    <t>2710000</t>
  </si>
  <si>
    <t>2710160</t>
  </si>
  <si>
    <t>0160</t>
  </si>
  <si>
    <t>2000000</t>
  </si>
  <si>
    <t>2010000</t>
  </si>
  <si>
    <t>2010160</t>
  </si>
  <si>
    <t>1700000</t>
  </si>
  <si>
    <t>08 Департамент соціальної політики ЧМР</t>
  </si>
  <si>
    <t>3180</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</si>
  <si>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</si>
  <si>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</si>
  <si>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</si>
  <si>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Утримання та забезпечення діяльності центрів соціальних служб для сім’ї, дітей та молоді</t>
  </si>
  <si>
    <t>0613133</t>
  </si>
  <si>
    <t>Інші заклади та заходи</t>
  </si>
  <si>
    <t>0813121</t>
  </si>
  <si>
    <t>0813140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</si>
  <si>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</si>
  <si>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8420</t>
  </si>
  <si>
    <t>2018420</t>
  </si>
  <si>
    <t>2300000</t>
  </si>
  <si>
    <t>2310000</t>
  </si>
  <si>
    <t>2310160</t>
  </si>
  <si>
    <t>Управління інформаційної політики ЧМР</t>
  </si>
  <si>
    <t>3300000</t>
  </si>
  <si>
    <t>3310000</t>
  </si>
  <si>
    <t>Управління з питань державної реєстрації ЧМР</t>
  </si>
  <si>
    <t>Інші заходи у сфері засобів масової інформації</t>
  </si>
  <si>
    <t>101ххх0</t>
  </si>
  <si>
    <t>10 Департамент освіти та гуманітарної політики ЧМР</t>
  </si>
  <si>
    <t xml:space="preserve"> Департамент освіти та гуманітарної політики ЧМР</t>
  </si>
  <si>
    <t>1090 </t>
  </si>
  <si>
    <t>Управління інспектування ЧМР</t>
  </si>
  <si>
    <t>Управління державного архітектурно-будівельного контролю ЧМР</t>
  </si>
  <si>
    <t>Департамент архітектури та  містобудування ЧМР</t>
  </si>
  <si>
    <t>9110</t>
  </si>
  <si>
    <t xml:space="preserve"> </t>
  </si>
  <si>
    <r>
      <t>0170</t>
    </r>
    <r>
      <rPr>
        <sz val="12"/>
        <rFont val="Times New Roman"/>
        <family val="1"/>
      </rPr>
      <t> </t>
    </r>
  </si>
  <si>
    <t>1040 </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</si>
  <si>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</si>
  <si>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</si>
  <si>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</si>
  <si>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</si>
  <si>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</si>
  <si>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</si>
  <si>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Департамент житлово-комунального комплексу</t>
  </si>
  <si>
    <t>0490</t>
  </si>
  <si>
    <t xml:space="preserve">Всього </t>
  </si>
  <si>
    <t>Керівник секретаріату (секретар)_________________ради</t>
  </si>
  <si>
    <r>
      <t>Код програмної класифікації видатків та кредитування місцевого бюджету</t>
    </r>
    <r>
      <rPr>
        <b/>
        <vertAlign val="superscript"/>
        <sz val="10"/>
        <rFont val="Times New Roman"/>
        <family val="1"/>
      </rPr>
      <t>2</t>
    </r>
  </si>
  <si>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</si>
  <si>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</si>
  <si>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Програма фінансування заходів, пов'язаних із нагородженням міськими відзнаками громадян, трудових колективів на 2016-2020 роки</t>
  </si>
  <si>
    <t>Департамент управління справами та юридичного забезпечення ЧМР</t>
  </si>
  <si>
    <t>Освіта</t>
  </si>
  <si>
    <t>0813230</t>
  </si>
  <si>
    <t>Забезпечення діяльності бібліотек</t>
  </si>
  <si>
    <t>Забезпечення діяльності музеїв i виставок</t>
  </si>
  <si>
    <t>0614040</t>
  </si>
  <si>
    <t>0614030</t>
  </si>
  <si>
    <t>Забезпечення діяльності палаців i будинків культури, клубів, центрів дозвілля та iнших клубних закладів</t>
  </si>
  <si>
    <t>Інші заклади та заходи в галузі культури і мистецтва</t>
  </si>
  <si>
    <t>0614080</t>
  </si>
  <si>
    <t>Утримання та фінансова підтримка спортивних споруд</t>
  </si>
  <si>
    <t>Організація благоустрою населених пунктів</t>
  </si>
  <si>
    <t>1216030</t>
  </si>
  <si>
    <t>6030</t>
  </si>
  <si>
    <t>6040</t>
  </si>
  <si>
    <t>1216040</t>
  </si>
  <si>
    <t>0453</t>
  </si>
  <si>
    <t>1217000</t>
  </si>
  <si>
    <t>7000</t>
  </si>
  <si>
    <t>Економічна діяльність</t>
  </si>
  <si>
    <t>Заходи запобігання та ліквідації надзвичайних ситуацій та наслідків стихійного лиха</t>
  </si>
  <si>
    <t>1218110</t>
  </si>
  <si>
    <t>8110</t>
  </si>
  <si>
    <t>Заходи з організації рятування на водах</t>
  </si>
  <si>
    <t>1218120</t>
  </si>
  <si>
    <t>Захист населення і територій від надзвичайних ситуацій техногенного та природного характеру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</si>
  <si>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</si>
  <si>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6084</t>
  </si>
  <si>
    <t>1216084</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</si>
  <si>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</si>
  <si>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1400000</t>
  </si>
  <si>
    <t>Департамент охорони здоров'я та медичних послуг ЧМР</t>
  </si>
  <si>
    <t>1410000</t>
  </si>
  <si>
    <t>2010</t>
  </si>
  <si>
    <t>Багатопрофільна стаціонарна медична допомога населенню</t>
  </si>
  <si>
    <t>Лікарні</t>
  </si>
  <si>
    <t>0960</t>
  </si>
  <si>
    <t>0930</t>
  </si>
  <si>
    <t>Позики, надані міжнародними фінансовими організаціями</t>
  </si>
  <si>
    <t xml:space="preserve">Одержано позик </t>
  </si>
  <si>
    <t xml:space="preserve">Запозичення </t>
  </si>
  <si>
    <t xml:space="preserve">Зовнішні запозичення </t>
  </si>
  <si>
    <t>Зовнішні зобов'язання</t>
  </si>
  <si>
    <t>Фінансування за активними операціями</t>
  </si>
  <si>
    <t>602000</t>
  </si>
  <si>
    <t>Зміни обсягів бюджетних коштів</t>
  </si>
  <si>
    <t>602100</t>
  </si>
  <si>
    <t>602200</t>
  </si>
  <si>
    <t>602300</t>
  </si>
  <si>
    <t>602304</t>
  </si>
  <si>
    <t>602400</t>
  </si>
  <si>
    <t>Директор департаменту фінансової політики</t>
  </si>
  <si>
    <t>Поліклініки і амбулаторії (крім спеціалізованих поліклінік та загальних і спеціалізованих стоматологічних поліклінік) </t>
  </si>
  <si>
    <t>210105</t>
  </si>
  <si>
    <t>0320</t>
  </si>
  <si>
    <t>Код</t>
  </si>
  <si>
    <t>7325</t>
  </si>
  <si>
    <t>Будівництво споруд, установ та закладів фізичної культури і спорту</t>
  </si>
  <si>
    <t>1618311</t>
  </si>
  <si>
    <t>8311</t>
  </si>
  <si>
    <t>Охорона та раціональне використання природних ресурсів</t>
  </si>
  <si>
    <r>
      <t xml:space="preserve">в т.ч.  </t>
    </r>
    <r>
      <rPr>
        <b/>
        <i/>
        <sz val="11"/>
        <rFont val="Times New Roman"/>
        <family val="1"/>
      </rPr>
      <t>субвенція з державного бюджету на соціально-економічний розвиток</t>
    </r>
  </si>
  <si>
    <t>0617324</t>
  </si>
  <si>
    <t>0617325</t>
  </si>
  <si>
    <t>0619770</t>
  </si>
  <si>
    <t>Будівництво установ та закладів культури</t>
  </si>
  <si>
    <t>0719770</t>
  </si>
  <si>
    <t>1216011</t>
  </si>
  <si>
    <t>6011</t>
  </si>
  <si>
    <t>Експлуатація та технічне обслуговування житлового фонду</t>
  </si>
  <si>
    <t>1216015</t>
  </si>
  <si>
    <t>6015</t>
  </si>
  <si>
    <t>6017</t>
  </si>
  <si>
    <t>1216017</t>
  </si>
  <si>
    <t>Забезпечення надійної та безперебійної експлуатації ліфтів</t>
  </si>
  <si>
    <t>Інша діяльність, пов`язана з експлуатацією об`єктів житлово-комунального господарства</t>
  </si>
  <si>
    <t>7310</t>
  </si>
  <si>
    <t>1217310</t>
  </si>
  <si>
    <t>Будівництво об`єктів житлово-комунального господарства</t>
  </si>
  <si>
    <t>0511</t>
  </si>
  <si>
    <t>1217670</t>
  </si>
  <si>
    <t>7670</t>
  </si>
  <si>
    <t>Внески до статутного капіталу суб`єктів господарювання</t>
  </si>
  <si>
    <t>7324</t>
  </si>
  <si>
    <t>1020</t>
  </si>
  <si>
    <t>7350</t>
  </si>
  <si>
    <t>Розроблення схем планування та забудови територій (містобудівної документації)</t>
  </si>
  <si>
    <t>1617461</t>
  </si>
  <si>
    <t>7650</t>
  </si>
  <si>
    <t>1617650</t>
  </si>
  <si>
    <t>Проведення експертної грошової оцінки земельної ділянки чи права на неї</t>
  </si>
  <si>
    <t>1618312</t>
  </si>
  <si>
    <t>8312</t>
  </si>
  <si>
    <t>0512</t>
  </si>
  <si>
    <t>Утилізація відходів</t>
  </si>
  <si>
    <t>2017370</t>
  </si>
  <si>
    <t>1617350</t>
  </si>
  <si>
    <t>Програма розроблення містобудівної документації у м.Черкаси на 2016-2020 роки</t>
  </si>
  <si>
    <t>Програма діяльності загонів оборони міста Черкаси волонтерських та громадських організацій, залучених до оборонної роботи, військово-патріотичного виховання громадян, соціальної реабілітації та адаптації учасників АТО, на 2016-2019 роки</t>
  </si>
  <si>
    <t>0616084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</si>
  <si>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</si>
  <si>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0618821</t>
  </si>
  <si>
    <t>Програма молодіжного житлового кредитування в м. Черкаси на 2018-2022 роки</t>
  </si>
  <si>
    <t>Спеціальний фонд</t>
  </si>
  <si>
    <t>Всього</t>
  </si>
  <si>
    <t>Надання субсидій населенню для відшкодування витрат на придбання твердого та рідкого пічного побутового палива і скрапленого газу</t>
  </si>
  <si>
    <t xml:space="preserve">Культура і мистецтво </t>
  </si>
  <si>
    <t>Фізична культура і спорт</t>
  </si>
  <si>
    <t>Утримання та навчально-тренувальна робота комунальних дитячо-юнацьких спортивних шкіл</t>
  </si>
  <si>
    <t xml:space="preserve">Соціальний захист та соціальне забезпечення </t>
  </si>
  <si>
    <t>в т.ч. освітня субвенція з державного бюджету</t>
  </si>
  <si>
    <t>1217422</t>
  </si>
  <si>
    <t>7422</t>
  </si>
  <si>
    <t>Регулювання цін на послуги місцевого наземного електротранспорту</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</si>
  <si>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</si>
  <si>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</si>
  <si>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</si>
  <si>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</si>
  <si>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1216080</t>
  </si>
  <si>
    <t>Реалізація державних та місцевих житлових програм</t>
  </si>
  <si>
    <t>0616080</t>
  </si>
  <si>
    <t>2717690</t>
  </si>
  <si>
    <t>Інша економічна діяльність</t>
  </si>
  <si>
    <t>1617460</t>
  </si>
  <si>
    <t>Утримання та розвиток автомобільних доріг та дорожньої інфраструктури</t>
  </si>
  <si>
    <t>1217460</t>
  </si>
  <si>
    <t>Лікарсько-акушерська допомога  вагітним, породіллям та новонародженим</t>
  </si>
  <si>
    <t>Організація та проведення громадських робіт</t>
  </si>
  <si>
    <t>1070 </t>
  </si>
  <si>
    <t>Утримання та розвиток автомобільних доріг та дорожньої інфраструктури за рахунок коштів місцевого бюджету</t>
  </si>
  <si>
    <t>1217461</t>
  </si>
  <si>
    <t>7461</t>
  </si>
  <si>
    <t>0615012</t>
  </si>
  <si>
    <t>Проведення навчально-тренувальних зборів і змагань з неолімпійських видів спорту</t>
  </si>
  <si>
    <t>Програма підтримки сімей та молоді м.Черкаси на 2017-2021 роки</t>
  </si>
  <si>
    <t>2080</t>
  </si>
  <si>
    <t>1216090</t>
  </si>
  <si>
    <t>Інша діяльність у сфері житлово-комунального господарства</t>
  </si>
  <si>
    <t>1218841</t>
  </si>
  <si>
    <t>1217640</t>
  </si>
  <si>
    <t>рішення міської ради від 24.01.2019 № 2-3739</t>
  </si>
  <si>
    <t>Міська Програма "Репродуктивне здоров’я на 2019-2021 роки"</t>
  </si>
  <si>
    <t xml:space="preserve">на забезпечення якісної, сучасної та доступної загальної середньої освіти «Нова українська школа» за рахунок відповідної субвенції з державного бюджету * </t>
  </si>
  <si>
    <t xml:space="preserve">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 </t>
  </si>
  <si>
    <t xml:space="preserve">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 </t>
  </si>
  <si>
    <t xml:space="preserve">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 </t>
  </si>
  <si>
    <t xml:space="preserve">на виплату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 * </t>
  </si>
  <si>
    <t>Програма забезпечення техногенної та пожежної безпеки на території м. Черкаси, захисту населення від надзвичайних ситуацій техногенного, природного, соціального, воєнного характеру на 2019-2022 роки</t>
  </si>
  <si>
    <t>рішення міської ради від 24.01.2019 № 2-3754</t>
  </si>
  <si>
    <t>9800</t>
  </si>
  <si>
    <t>3717693</t>
  </si>
  <si>
    <t>Інші заходи, пов'язані з економічною діяльністю</t>
  </si>
  <si>
    <t>0717363</t>
  </si>
  <si>
    <t>1217363</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</si>
  <si>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</si>
  <si>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</si>
  <si>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</si>
  <si>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рішення міської ради від 20.09.2016 № 2-905 (зі змінами)</t>
  </si>
  <si>
    <t>0540</t>
  </si>
  <si>
    <t>48 Департамент архітектури та містобудування ЧМР</t>
  </si>
  <si>
    <t>1710000</t>
  </si>
  <si>
    <t>1710160</t>
  </si>
  <si>
    <t>1600000</t>
  </si>
  <si>
    <t>1610000</t>
  </si>
  <si>
    <t>1610160</t>
  </si>
  <si>
    <t>1410160</t>
  </si>
  <si>
    <t>1200000</t>
  </si>
  <si>
    <t>1210000</t>
  </si>
  <si>
    <t>1210160</t>
  </si>
  <si>
    <t>1216000</t>
  </si>
  <si>
    <t>1218100</t>
  </si>
  <si>
    <t>0813180</t>
  </si>
  <si>
    <t>0813160</t>
  </si>
  <si>
    <t>0813104</t>
  </si>
  <si>
    <t>0813090</t>
  </si>
  <si>
    <t>Первинна медична допомога населенню, що надається центрами первинної медичної (медико-санітарної) допомоги</t>
  </si>
  <si>
    <t>0712111</t>
  </si>
  <si>
    <t>0726</t>
  </si>
  <si>
    <t>2111</t>
  </si>
  <si>
    <t>0813032</t>
  </si>
  <si>
    <t>Надання пільг окремим категоріям громадян з оплати послуг зв`язку</t>
  </si>
  <si>
    <t xml:space="preserve">Субвенція з місцевого бюджету державному бюджету на виконання програм соціально-економічного розвитку регіонів </t>
  </si>
  <si>
    <t>1219800</t>
  </si>
  <si>
    <t>в т.ч. субвенція з державного бюджету</t>
  </si>
  <si>
    <t>0617670</t>
  </si>
  <si>
    <t>Природоохоронні заходи за рахунок цільових фондів</t>
  </si>
  <si>
    <t>8340</t>
  </si>
  <si>
    <t>1218340</t>
  </si>
  <si>
    <t>Інші субвенції з місцевого бюджету</t>
  </si>
  <si>
    <t>0718110</t>
  </si>
  <si>
    <t>Фінансова підтримка засобів масової інформації</t>
  </si>
  <si>
    <t>2018410</t>
  </si>
  <si>
    <t>2018400</t>
  </si>
  <si>
    <t>2014080</t>
  </si>
  <si>
    <t>3718600</t>
  </si>
  <si>
    <t>3719110</t>
  </si>
  <si>
    <t>3718700</t>
  </si>
  <si>
    <t>8700</t>
  </si>
  <si>
    <t>0611060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</si>
  <si>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</si>
  <si>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1216013</t>
  </si>
  <si>
    <t>1216012</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</si>
  <si>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</si>
  <si>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</si>
  <si>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в т.ч. субвенція з  місцевого бюджету за рахунок залишку коштів медичної субвенції, (на виконання обласної програми надання медичної допомоги хворим нефрологічного профілю)</t>
  </si>
  <si>
    <t>0617363</t>
  </si>
  <si>
    <t>Виконання інвестиційних проектів в рамках здійснення заходів щодо соціально-економічного розвитку окремих територій</t>
  </si>
  <si>
    <t>0717670</t>
  </si>
  <si>
    <t>Внески до статутного капіталу суб’єктів господарювання</t>
  </si>
  <si>
    <t>0813221</t>
  </si>
  <si>
    <t>в т.ч. за рахунок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</si>
  <si>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</si>
  <si>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0816083</t>
  </si>
  <si>
    <t>6012</t>
  </si>
  <si>
    <t>6013</t>
  </si>
  <si>
    <t>1619770</t>
  </si>
  <si>
    <t>у тому числі бюджет розвитку</t>
  </si>
  <si>
    <t>Дата та номер документа, яким затверджено місцеву (регіональну) програму</t>
  </si>
  <si>
    <t>Найменування бюджету - 
одержувача / надавача міжбюджетного трансферту</t>
  </si>
  <si>
    <t>Трансферти з інших місцевих бюджетів</t>
  </si>
  <si>
    <t>дотація на:</t>
  </si>
  <si>
    <t>субвенції</t>
  </si>
  <si>
    <t>загального фонду на:</t>
  </si>
  <si>
    <t>спеціального фонду на:</t>
  </si>
  <si>
    <t>0813031</t>
  </si>
  <si>
    <t>3031</t>
  </si>
  <si>
    <t>Надання інших пільг окремим категоріям громадян відповідно до законодавства</t>
  </si>
  <si>
    <t>рішення міської ради від 22.01.2015 № 2-686 (зі змінами)</t>
  </si>
  <si>
    <t>рішення міської ради від 28.07.2016 № 2-824 (зі змінами)</t>
  </si>
  <si>
    <t>0813035</t>
  </si>
  <si>
    <t>Компенсаційні виплати за пільговий проїзд окремих категорій громадян на залізничному транспорті</t>
  </si>
  <si>
    <t>рішення міської ради від 22.01.2015 № 2-683</t>
  </si>
  <si>
    <t>рішення міської ради від 16.12.2016 № 2-1509</t>
  </si>
  <si>
    <t>рішення міської ради від 24.12.2015 № 2-25 (зі змінами)</t>
  </si>
  <si>
    <t>рішення міської ради від 14.01.2016 № 2-87 (зі змінами)</t>
  </si>
  <si>
    <t>рішення міської ради від 05.10.2017 № 2-2379 (зі змінами)</t>
  </si>
  <si>
    <t>рішення міської ради від 10.11.2017 № 2-2581</t>
  </si>
  <si>
    <t>рішення міської ради від 24.12.2015 № 2-26</t>
  </si>
  <si>
    <t>рішення міської ради від 13.02.2017 № 2-1645 (зі змінами)</t>
  </si>
  <si>
    <t>рішення міської ради від 22.01.2015 № 2-678 (зі змінами)</t>
  </si>
  <si>
    <t>Програма управління боргом на 2019-2027 роки</t>
  </si>
  <si>
    <t>рішення міської ради від 05.03.2019 № 2-4030</t>
  </si>
  <si>
    <t>рішення міської ради від 01.11.2017 № 2-2480</t>
  </si>
  <si>
    <t>рішення міської ради від 01.11.2017 № 2-2481</t>
  </si>
  <si>
    <t>Міська Програма здійснення заходів, що не могли бути передбачені під час складання бюджету та порядок надання матеріальної допомоги громадянам міста</t>
  </si>
  <si>
    <t>1900000</t>
  </si>
  <si>
    <t>1910000</t>
  </si>
  <si>
    <t>1910160</t>
  </si>
  <si>
    <t>2717670</t>
  </si>
  <si>
    <t>Програма переоснащення комунальних підприємств міста Черкаси на 2019-2024 роки</t>
  </si>
  <si>
    <t>в т.ч.:  Міська Програма здійснення заходів, що не могли бути передбачені під час складання бюджету та порядок надання матеріальної допомоги громадянам міста</t>
  </si>
  <si>
    <t>рішення міської ради від 17.03.2015 № 2-1096 (зі змінами)</t>
  </si>
  <si>
    <t>рішення міської ради від 16.12.2016 № 2-1528 (зі змінами)</t>
  </si>
  <si>
    <t>рішення міської ради від 16.12.2016 № 2-1497 (зі змінами)</t>
  </si>
  <si>
    <t>рішення міської ради від 13.09.2016 № 2-899 (зі змінами)</t>
  </si>
  <si>
    <t>рішення міської ради від 13.05.2016 № 2-579 (зі змінами)</t>
  </si>
  <si>
    <t>рішення міської ради від 23.10.2018 № 2-3710 (зі змінами)</t>
  </si>
  <si>
    <t>7321</t>
  </si>
  <si>
    <t>рішення міської ради від 20.09.2016 № 2-937 (зі змінами)</t>
  </si>
  <si>
    <t>рішення міської ради від 16.06.2017 № 2-2202</t>
  </si>
  <si>
    <t>Програма підвищення енергоефективності та зменшення споживання енергоресурсів у місті Черкасах на 2016-2020 роки</t>
  </si>
  <si>
    <t>рішення міської ради від 20.09.2016 № 2-906</t>
  </si>
  <si>
    <t>рішення міської ради від 05.10.2017 № 2-2375</t>
  </si>
  <si>
    <t>рішення міської ради від 10.01.2018 № 2-2843</t>
  </si>
  <si>
    <t>Програма переоснащення комунальних підприємств міста Черкаси на 2018-2023 роки</t>
  </si>
  <si>
    <t>рішення міської ради від 22.08.2018 № 2-3443</t>
  </si>
  <si>
    <t>Трансферти іншим бюджетам</t>
  </si>
  <si>
    <t>Код Функціональної класифікації видатків та кредитування бюджету</t>
  </si>
  <si>
    <t>усього</t>
  </si>
  <si>
    <t>0813036</t>
  </si>
  <si>
    <t>Компенсаційні виплати на пільговий проїзд електротранспортом окремим категоріям громадян</t>
  </si>
  <si>
    <t>рішення міської ради від 10.11.2017 № 2-2578 (зі змінами)</t>
  </si>
  <si>
    <t xml:space="preserve">Надання пільгових довгострокових кредитів молодим сім’ям та одиноким молодим громадянам на будівництво/придбання житла  </t>
  </si>
  <si>
    <t xml:space="preserve">Надання довгострокових кредитів громадянам на будівництво / реконструкцію / придбання житла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</si>
  <si>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</si>
  <si>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0813086</t>
  </si>
  <si>
    <t>0813049</t>
  </si>
  <si>
    <t>Відшкодування послуги з догляду за дитиною до трьох років «муніципальна няня»</t>
  </si>
  <si>
    <r>
      <t xml:space="preserve">в т.ч. освітня </t>
    </r>
    <r>
      <rPr>
        <b/>
        <i/>
        <sz val="11"/>
        <rFont val="Times New Roman"/>
        <family val="1"/>
      </rPr>
      <t>субвенція з державного бюджету</t>
    </r>
  </si>
  <si>
    <t>Надання коштів для забезпечення гарантійних зобов'язань за позичальників, що отримали кредити під місцеві гарантії</t>
  </si>
  <si>
    <t>0813087</t>
  </si>
  <si>
    <t>Надання допомоги на дітей, які виховуються у багатодітних сім’ях</t>
  </si>
  <si>
    <t>Т.І. Харенко</t>
  </si>
  <si>
    <t>рішення міської ради від 10.01.2018 № 2-2845</t>
  </si>
  <si>
    <t>Міська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підпорядкованих департаменту освіти та гуманітарної політики ЧМР на 2017-2019 роки</t>
  </si>
  <si>
    <t>Міська програма "Черкаські таланти" на 2016-2020 роки</t>
  </si>
  <si>
    <t>Міська програма виділення грантів у галузі культури м.Черкаси на 2018-2022 роки</t>
  </si>
  <si>
    <t>Міська програма сприяння проведенню змагань національного та міжнародного рівня у м.Черкаси на 2015-2020 роки</t>
  </si>
  <si>
    <t>Міська програма розвитку єдиноборств у м. Черкаси на 2019-2023 роки</t>
  </si>
  <si>
    <t xml:space="preserve">Міська програма забезпечення туберкулінодіагностикою дитячого населення міста Черкаси на 2018-2020 роки </t>
  </si>
  <si>
    <t>Міська програма забезпечення осіб з інвалідністю та дітей з інвалідністю технічними засобами на 2018-2020</t>
  </si>
  <si>
    <t>рішення міської ради від 16.12.2016 № 2-1529 (зі змінами)</t>
  </si>
  <si>
    <t>Міська цільова програма сприяння діяльності органів самоорганізації населення міста Черкаси на 2017-2021</t>
  </si>
  <si>
    <t>рішення міської ради від 17.01.2018 № 2-2864</t>
  </si>
  <si>
    <t>Міська програма організації і сприяння приписці громадян до призовних дільниць та їх призову на строкову військову службу у 2017 - 2021</t>
  </si>
  <si>
    <t>рішення міської ради від 20.09.2016 № 2-936 (зі змінами)</t>
  </si>
  <si>
    <t xml:space="preserve">Програми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t>
  </si>
  <si>
    <t>рішення міської ради від 05.03.2019 № 2-4029</t>
  </si>
  <si>
    <t>Міська Програма управління об'єктами комунальної власності територіальної громади м. Черкаси на 2017-2021 роки</t>
  </si>
  <si>
    <t xml:space="preserve">в т.ч. Програми здійснення додаткових заходів із мобілізації коштів до міського бюджету на 2018-2019 роки </t>
  </si>
  <si>
    <t>091106</t>
  </si>
  <si>
    <t>1040</t>
  </si>
  <si>
    <t>0824</t>
  </si>
  <si>
    <t>0828</t>
  </si>
  <si>
    <t>110502</t>
  </si>
  <si>
    <t>0829</t>
  </si>
  <si>
    <t>0810</t>
  </si>
  <si>
    <t xml:space="preserve">Надання державної соціальної допомоги особам з інвалідністю з дитинства та дітям з інвалідністю </t>
  </si>
  <si>
    <t>Надання допомоги по догляду за особами з інвалідністю I чи II групи внаслідок психічного розладу</t>
  </si>
  <si>
    <t>3242</t>
  </si>
  <si>
    <t>0613240</t>
  </si>
  <si>
    <t>0613241</t>
  </si>
  <si>
    <t>0613242</t>
  </si>
  <si>
    <t>Забезпечення діяльності інших закладів у сфері соціального захисту і соціального забезпечення</t>
  </si>
  <si>
    <t>2014082</t>
  </si>
  <si>
    <t xml:space="preserve">Забезпечення діяльності інших закладів в галузі культури і мистецтва </t>
  </si>
  <si>
    <t>0614081</t>
  </si>
  <si>
    <t>0614082</t>
  </si>
  <si>
    <t>2013242</t>
  </si>
  <si>
    <t>Інші заходи в галузі культури і мистецтва</t>
  </si>
  <si>
    <t>0611161</t>
  </si>
  <si>
    <t>0611162</t>
  </si>
  <si>
    <t>Забезпечення діяльності інших закладів у сфері освіти</t>
  </si>
  <si>
    <t>Інші програми та заходи у сфері освіти</t>
  </si>
  <si>
    <t>1162</t>
  </si>
  <si>
    <t>4081</t>
  </si>
  <si>
    <t>4082</t>
  </si>
  <si>
    <t>Надання допомоги сім'ям з дітьми, малозабезпеченим  сім’ям, тимчасової допомоги дітям</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</si>
  <si>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</si>
  <si>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</si>
  <si>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40 Департамент житлово-комунального комплексу ЧМР</t>
  </si>
  <si>
    <t>250913</t>
  </si>
  <si>
    <t>Департамент архітектури та містобудування ЧМР</t>
  </si>
  <si>
    <t>200200</t>
  </si>
  <si>
    <t>Міська соціальна програма "Турбота" на період з 2018 до 2022</t>
  </si>
  <si>
    <t>0712151</t>
  </si>
  <si>
    <t>Забезпечення діяльності інших закладів у сфері охорони здоров’я</t>
  </si>
  <si>
    <t>Інші програми та заходи у сфері охорони здоров’я</t>
  </si>
  <si>
    <t>0712152</t>
  </si>
  <si>
    <t>0617321</t>
  </si>
  <si>
    <t>0443</t>
  </si>
  <si>
    <t>Будівництво освітніх установ та закладів</t>
  </si>
  <si>
    <t>0710160</t>
  </si>
  <si>
    <t>0710000</t>
  </si>
  <si>
    <t>Амбулаторно-поліклінічна допомога населенню, крім первинної медичної допомоги</t>
  </si>
  <si>
    <t>0700000</t>
  </si>
  <si>
    <t>0615063</t>
  </si>
  <si>
    <t>0615062</t>
  </si>
  <si>
    <t>0615060</t>
  </si>
  <si>
    <t>0615041</t>
  </si>
  <si>
    <t>0615040</t>
  </si>
  <si>
    <t>0615031</t>
  </si>
  <si>
    <t>0615011</t>
  </si>
  <si>
    <t>0615030</t>
  </si>
  <si>
    <t>0615010</t>
  </si>
  <si>
    <t>0615000</t>
  </si>
  <si>
    <t>0614060</t>
  </si>
  <si>
    <t>0614000</t>
  </si>
  <si>
    <t>0613140</t>
  </si>
  <si>
    <t>0613130</t>
  </si>
  <si>
    <t>0613000</t>
  </si>
  <si>
    <t>0611160</t>
  </si>
  <si>
    <t>0611100</t>
  </si>
  <si>
    <t>0611090</t>
  </si>
  <si>
    <t>0611020</t>
  </si>
  <si>
    <t>0611010</t>
  </si>
  <si>
    <t>0611000</t>
  </si>
  <si>
    <t>0610160</t>
  </si>
  <si>
    <t>0610000</t>
  </si>
  <si>
    <t>0600000</t>
  </si>
  <si>
    <t>0210160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</si>
  <si>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</si>
  <si>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</si>
  <si>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Забезпечення належних умов для виховання та розвитку дітей-сиріт і дітей, позбавлених батьківського піклування, в дитячих будинках</t>
  </si>
  <si>
    <t>0611110</t>
  </si>
  <si>
    <t>0611150</t>
  </si>
  <si>
    <t>Інші програми, заклади та заходи у сфері освіти</t>
  </si>
  <si>
    <t>0712030</t>
  </si>
  <si>
    <t>0712080</t>
  </si>
  <si>
    <t>Стоматологічна допомога населенню</t>
  </si>
  <si>
    <t>0712100</t>
  </si>
  <si>
    <t>0712150</t>
  </si>
  <si>
    <t>Соціальний захист ветеранів війни та праці</t>
  </si>
  <si>
    <t>091209</t>
  </si>
  <si>
    <t>Фінансова підтримка громадських організацій інвалідів і ветеранів</t>
  </si>
  <si>
    <t xml:space="preserve"> Департамент житлово-комунального комплексу ЧМР</t>
  </si>
  <si>
    <t>Резервний фонд </t>
  </si>
  <si>
    <t>8120</t>
  </si>
  <si>
    <t>170703</t>
  </si>
  <si>
    <t>0456</t>
  </si>
  <si>
    <t>203520</t>
  </si>
  <si>
    <t>Погашено позик</t>
  </si>
  <si>
    <t>208000</t>
  </si>
  <si>
    <t xml:space="preserve">Фінансування за рахунок зміни залишків коштів бюджетів </t>
  </si>
  <si>
    <t>208100</t>
  </si>
  <si>
    <t>Програма забезпечення діяльності загонів оборони міста Черкаси, волонтерських та громадських організацій, залучених до оборонної роботи, військово-патріотичного виховання громадян, соціальної реабілітації та адаптації учасників АТО на 2016-2019 роки</t>
  </si>
  <si>
    <t>Заходи та роботи з мобілізаційної підготовки місцевого значення</t>
  </si>
  <si>
    <t>240604</t>
  </si>
  <si>
    <t>Інша діяльність у сфері охорони навколишнього природного середовища </t>
  </si>
  <si>
    <t>151ххх0</t>
  </si>
  <si>
    <t>15 Департамент соціальної політики ЧМР</t>
  </si>
  <si>
    <t>090212</t>
  </si>
  <si>
    <t>1070</t>
  </si>
  <si>
    <t>Пільгове медичне обслуговування осіб, які постраждали внаслідок Чорнобильської катастрофи</t>
  </si>
  <si>
    <t>Пільги на медичне обслуговування громадян, які постраждали в наслідок Чорнобильської катастрофи</t>
  </si>
  <si>
    <t>090412</t>
  </si>
  <si>
    <t>1090</t>
  </si>
  <si>
    <t>Інші видатки на соціальний захист населення</t>
  </si>
  <si>
    <t>090501</t>
  </si>
  <si>
    <t>1050</t>
  </si>
  <si>
    <t>видатки споживання</t>
  </si>
  <si>
    <t>видатки розвитку</t>
  </si>
  <si>
    <t>оплата праці і нарахування на заробітну плату</t>
  </si>
  <si>
    <t>Разом</t>
  </si>
  <si>
    <t>0100000</t>
  </si>
  <si>
    <t>Департамент освіти та гуманітарної політики ЧМР</t>
  </si>
  <si>
    <t>Інші видатки</t>
  </si>
  <si>
    <t>Програма розвитку і утримання житлово-комунального господарства міста Черкаси на 2016-2020 роки</t>
  </si>
  <si>
    <t>Заходи пов'язані з поліпшенням питної води</t>
  </si>
  <si>
    <t>Благоустрій міст, сіл, селищ</t>
  </si>
  <si>
    <t>Програма "Екологія 2015-2020"</t>
  </si>
  <si>
    <t>Програма поводження з безпритульними тваринами у місті Черкаси на 2016-2020 роки</t>
  </si>
  <si>
    <t>101ххх1</t>
  </si>
  <si>
    <t>101ххх2</t>
  </si>
  <si>
    <t>Програма будівництва, реконструкції, ремонту та утримання об'єктів вулично-дорожньої мережі міста Черкаси на 2016 -2020 роки</t>
  </si>
  <si>
    <t>Видатки на проведення робіт, пов'язаних із будівництвом, реконструкцією, ремонтом та утриманням автомобільних доріг</t>
  </si>
  <si>
    <t xml:space="preserve"> Департамент соціальної політики ЧМР</t>
  </si>
  <si>
    <t>Департамент соціальної політики ЧМР</t>
  </si>
  <si>
    <t>0910 </t>
  </si>
  <si>
    <t>Програма розроблення стратегічного плану розвитку м. Черкаси до 2030 року на 2017-2020 роки</t>
  </si>
  <si>
    <t>в т.ч. за рахунок субвенції з обласного бюджету</t>
  </si>
  <si>
    <t>0170</t>
  </si>
  <si>
    <t>Обслуговування боргу</t>
  </si>
  <si>
    <t xml:space="preserve">0910 </t>
  </si>
  <si>
    <t>Підтримка спорту вищих досягнень та організацій, які здійснюють фізкультурно-спортивну діяльність в регіоні</t>
  </si>
  <si>
    <t>Інші заходи та заклади молодіжної політики</t>
  </si>
  <si>
    <t xml:space="preserve">0960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</si>
  <si>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</si>
  <si>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1020 </t>
  </si>
  <si>
    <t>O2</t>
  </si>
  <si>
    <t>-</t>
  </si>
  <si>
    <t>Код бюджету</t>
  </si>
  <si>
    <t>О3</t>
  </si>
  <si>
    <t>Субвенція загального фонду на:</t>
  </si>
  <si>
    <t>О4</t>
  </si>
  <si>
    <t>О5</t>
  </si>
  <si>
    <t>Державний бюджет</t>
  </si>
  <si>
    <t>Обласний бюджет</t>
  </si>
  <si>
    <t>медикаменти</t>
  </si>
  <si>
    <t>харчування</t>
  </si>
  <si>
    <t>комунальні послуги та енергоносії</t>
  </si>
  <si>
    <t>кошти, що передаються із загального фонду бюджету до бюджету розвитку (спеціального фонду)</t>
  </si>
  <si>
    <t>Департамент організаційного забезпечення ЧМР</t>
  </si>
  <si>
    <t>Інші видатки </t>
  </si>
  <si>
    <t>091108</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</si>
  <si>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</si>
  <si>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</si>
  <si>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Проведення спортивної роботи в регіоні</t>
  </si>
  <si>
    <t>130102</t>
  </si>
  <si>
    <t>Проведення навчально-тренувальних зборів і змагань з олімпійських видів спорту</t>
  </si>
  <si>
    <t>Проведення навчально-тренувальних зборів і змагань </t>
  </si>
  <si>
    <t>0620</t>
  </si>
  <si>
    <t>Програма зайнятості населення м. Черкаси на 2019-2023 роки</t>
  </si>
  <si>
    <t>На початок періоду</t>
  </si>
  <si>
    <t>На кінець періоду</t>
  </si>
  <si>
    <t>208300</t>
  </si>
  <si>
    <t>Інші розрахунки</t>
  </si>
  <si>
    <t>208340</t>
  </si>
  <si>
    <t xml:space="preserve">Інші розрахунки </t>
  </si>
  <si>
    <t>208400</t>
  </si>
  <si>
    <t xml:space="preserve">Охорона здоров'я </t>
  </si>
  <si>
    <t>0133</t>
  </si>
  <si>
    <t>070101</t>
  </si>
  <si>
    <t>0910</t>
  </si>
  <si>
    <t xml:space="preserve">Дошкільні заклади освіти </t>
  </si>
  <si>
    <t>0921</t>
  </si>
  <si>
    <t>0456 </t>
  </si>
  <si>
    <t>0640</t>
  </si>
  <si>
    <t>Забезпечення діяльності централізованої бухгалтерії</t>
  </si>
  <si>
    <t>Методична робота, інші заходи у сфері народної освіти </t>
  </si>
  <si>
    <t>120400</t>
  </si>
  <si>
    <t>0830</t>
  </si>
  <si>
    <t>Інші засоби масової інформації</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</si>
  <si>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</si>
  <si>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1030 </t>
  </si>
  <si>
    <t>0733</t>
  </si>
  <si>
    <t>Перинатальні центри, пологові будинки</t>
  </si>
  <si>
    <t>080300</t>
  </si>
  <si>
    <t>0721</t>
  </si>
  <si>
    <t>0722</t>
  </si>
  <si>
    <t>250404</t>
  </si>
  <si>
    <t>Підтримка і розвиток спортивної інфраструктури</t>
  </si>
  <si>
    <t>Інші заходи з розвитку фізичної культури та спорту</t>
  </si>
  <si>
    <t>з них</t>
  </si>
  <si>
    <t xml:space="preserve">0990 </t>
  </si>
  <si>
    <r>
      <t>в т.ч. за рахунок медичної</t>
    </r>
    <r>
      <rPr>
        <b/>
        <i/>
        <sz val="11"/>
        <rFont val="Times New Roman"/>
        <family val="1"/>
      </rPr>
      <t xml:space="preserve"> субвенції з державного бюджету</t>
    </r>
  </si>
  <si>
    <r>
      <t xml:space="preserve">в т.ч. медична </t>
    </r>
    <r>
      <rPr>
        <b/>
        <i/>
        <sz val="11"/>
        <rFont val="Times New Roman"/>
        <family val="1"/>
      </rPr>
      <t>субвенція з державного бюджету</t>
    </r>
  </si>
  <si>
    <t>в т.ч. субвенція  з місцевого бюджету за рахунок залишку коштів медичної субвенції, що утворився на початок бюджетного періоду</t>
  </si>
  <si>
    <r>
      <t xml:space="preserve">в т.ч. за рахунок </t>
    </r>
    <r>
      <rPr>
        <b/>
        <i/>
        <sz val="11"/>
        <rFont val="Times New Roman"/>
        <family val="1"/>
      </rPr>
      <t>субвенцій з державного бюджету</t>
    </r>
  </si>
  <si>
    <r>
      <t xml:space="preserve">в т.ч. за рахунок </t>
    </r>
    <r>
      <rPr>
        <b/>
        <i/>
        <sz val="11"/>
        <rFont val="Times New Roman"/>
        <family val="1"/>
      </rPr>
      <t>субвенції з державного бюджету</t>
    </r>
  </si>
  <si>
    <r>
      <t>в т.ч. за рахунок</t>
    </r>
    <r>
      <rPr>
        <b/>
        <i/>
        <sz val="11"/>
        <rFont val="Times New Roman"/>
        <family val="1"/>
      </rPr>
      <t xml:space="preserve"> субвенції з державного бюджету</t>
    </r>
  </si>
  <si>
    <t>Реверсна дотація</t>
  </si>
  <si>
    <t>2010170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</si>
  <si>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</si>
  <si>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1218320</t>
  </si>
  <si>
    <t>1218312</t>
  </si>
  <si>
    <t>Програма впорядкування тимчасових споруд і зовнішньої реклами на території міста Черкаси на 2020-2022 роки</t>
  </si>
  <si>
    <t>рішення міської ради від 20.02.2020 № 2-5687</t>
  </si>
  <si>
    <t>в т.ч. Програма впорядкування тимчасових споруд і зовнішньої реклами на території міста Черкаси на 2020-2022 роки</t>
  </si>
  <si>
    <t>Міська програма "Інформаційно-аналітичне забезпечення закладів охорони здоров'я міста Черкаси на 2019 - 2020 роки"</t>
  </si>
  <si>
    <t>в т.ч.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</si>
  <si>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Додаток № 2
до рішення міської ради
"Про міський бюджет міста Черкаси на 2020 рік (23201100000)" від 27.12.2019 № 2-5671
зі змінами від 27.01.2020 № 2-5679,
від 20.02.2020 № 2-5689,
від 16.03.2020 № 2-5699,
від 19.03.2020 № 2-5702,
від 10.04.2020 № 2-5907,
від 12.06.2020 № 2-5931
відповідно до рішення міської ради
від _________ № ______</t>
  </si>
  <si>
    <t>Додаток № 3
до рішення міської ради
"Про міський бюджет міста Черкаси на 2020 рік (23201100000)" від 27.12.2019 № 2-5671
зі змінами від 27.01.2020 № 2-5679,
від 20.02.2020 № 2-5689,
від 16.03.2020 № 2-5699,
від 19.03.2020 № 2-5702,
від 10.04.2020 № 2-5907,
від 12.06.2020 № 2-5931
відповідно до рішення міської ради
від _________ № ______</t>
  </si>
  <si>
    <t>Додаток № 5
до рішення міської ради
"Про міський бюджет міста Черкаси на 2020 рік (23201100000)"
від 27.12.2019 № 5671
зі зімнами від 16.03.2020 № 2-5699,
від 19.03.2020 № 2-5702,
від 10.04.2020 № 2-5907,
від 12.06.2020 № 2-5931
відповідно до рішення міської ради
від _________ № ______</t>
  </si>
  <si>
    <t>Додаток № 7
до рішення міської ради
"Про міський бюджет міста Черкаси на 2020 рік (23201100000)" від 27.12.2019 № 2-5671
зі змінами від 27.01.2020 № 2-5679,
від 20.02.2020 № 2-5689,
від 16.03.2020 № 2-5699,
від 19.03.2020 № 2-5702,
від 10.04.2020 № 2-5907,
від 12.06.2020 № 2-5931
відповідно до рішення міської ради
від ________ № _______</t>
  </si>
  <si>
    <t>за рахунок залишку коштів освітньої субвенції, що утворився на початок бюджетного періоду**</t>
  </si>
  <si>
    <t>загального фонду:</t>
  </si>
  <si>
    <t>на здійснення переданих видатків у сфері освіти за рахунок коштів освітньої субвенції **</t>
  </si>
  <si>
    <t>на надання державної підтримки особам з особливими освітніми потребами за рахунок відповідної субвенції з державного бюджету **</t>
  </si>
  <si>
    <t>на здійснення переданих видатків у сфері охорони здоров’я за рахунок коштів медичної субвенції (цільові видатки на лікування хворих на цукровий та нецукровий діабет) **</t>
  </si>
  <si>
    <t>на здійснення підтримки окремих закладів та заходів у системі охорони здоров`я за рахунок відповідної субвенції з державного бюджетуу**</t>
  </si>
  <si>
    <t>на інші субвенції **</t>
  </si>
  <si>
    <t xml:space="preserve">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t>
  </si>
  <si>
    <t xml:space="preserve">в т.ч. субвенція з державного бюджету на забезпечення якісної, сучасної та доступної загальної середньої освіти «Нова українська школа» </t>
  </si>
  <si>
    <t>в т.ч. субвенція з обласного бюджету за рахунок залишку коштів освітньої субвенції, що утворився на початок бюджетного періоду</t>
  </si>
  <si>
    <t>в т.ч. субвенція з державного бюджету на здійснення заходів щодо соціально-економічного розвитку окремих територій</t>
  </si>
  <si>
    <t>Міська програма "Пільгове зубопротезування та планове лікування стоматологічних захворювань окремих категорій громадян міста Черкаси на 2019-2020 роки"</t>
  </si>
  <si>
    <t>рішення міської ради від 16.03.2020 № 2-5698 9зі змінами)</t>
  </si>
  <si>
    <t>рішення міської ради від 24.01.2019 № 2-3739 (зі змінами)</t>
  </si>
  <si>
    <t>Додаток № 1
до рішення міської ради
"Про міський бюджет на 2020 рік"
від 27.12.2019 № 2-5671
зі змінами від 27.01.2020 № 2-5679,
від 10.04.2020 № 2-5907,
від 12.06.2020 № 2-5931
відповідно до рішення міської ради
від ________ № ______</t>
  </si>
  <si>
    <t>Доходи міського бюджету на 2020 рік</t>
  </si>
  <si>
    <t>грн.</t>
  </si>
  <si>
    <t>Найменування згідно 
з класифікацією доходів бюджету</t>
  </si>
  <si>
    <t>Загальний
фонд</t>
  </si>
  <si>
    <t>у т.ч. бюджет розвитку</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</si>
  <si>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</si>
  <si>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</si>
  <si>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</si>
  <si>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</si>
  <si>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</si>
  <si>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</si>
  <si>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</si>
  <si>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</si>
  <si>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</si>
  <si>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</si>
  <si>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Авансові внески з податку на прибуток підприємств та фінансових установ комунальної власності</t>
  </si>
  <si>
    <t>Податки на власність</t>
  </si>
  <si>
    <t>Рентна плата та плата за використання інших природних ресурсів</t>
  </si>
  <si>
    <t>Рентна плата за користування надрами</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</si>
  <si>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</si>
  <si>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</si>
  <si>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</si>
  <si>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</si>
  <si>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</si>
  <si>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</si>
  <si>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t>
  </si>
  <si>
    <t>Місцеві податки</t>
  </si>
  <si>
    <r>
      <t>18010000</t>
    </r>
    <r>
      <rPr>
        <sz val="10"/>
        <color indexed="8"/>
        <rFont val="Times New Roman"/>
        <family val="1"/>
      </rPr>
      <t> </t>
    </r>
  </si>
  <si>
    <r>
      <t>Податок на майно</t>
    </r>
    <r>
      <rPr>
        <sz val="10"/>
        <color indexed="8"/>
        <rFont val="Times New Roman"/>
        <family val="1"/>
      </rPr>
      <t> </t>
    </r>
  </si>
  <si>
    <t>Податок на майно відмінне від зем.ділянки</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</si>
  <si>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</si>
  <si>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</si>
  <si>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Збір за місця для паркування транспортних засобів</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</si>
  <si>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</si>
  <si>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</si>
  <si>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Плата за землю</t>
  </si>
  <si>
    <t xml:space="preserve"> Земельний податок з юридичних осіб</t>
  </si>
  <si>
    <t xml:space="preserve"> Орендна плата з юридичних осіб</t>
  </si>
  <si>
    <t xml:space="preserve"> Земельний податок з фізичних осіб</t>
  </si>
  <si>
    <t xml:space="preserve"> Орендна плата з фізичних осіб</t>
  </si>
  <si>
    <t xml:space="preserve">Транспортний податок </t>
  </si>
  <si>
    <t>Транспортний податок з фізичних осіб</t>
  </si>
  <si>
    <t>Транспортний податок з юридичних осіб</t>
  </si>
  <si>
    <t>Туристичний збір</t>
  </si>
  <si>
    <t>Туристичний збір, сплачений юридичними особами</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</si>
  <si>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</si>
  <si>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</si>
  <si>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</si>
  <si>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</si>
  <si>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</si>
  <si>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і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</si>
  <si>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</si>
  <si>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</si>
  <si>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</si>
  <si>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</si>
  <si>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</si>
  <si>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19050000 </t>
  </si>
  <si>
    <t>Збір за забруднення навколишнього природного середовища  </t>
  </si>
  <si>
    <t>19050100 </t>
  </si>
  <si>
    <t>Надходження коштів від енергопідприємств до Державного фонду охорони навколишнього природного середовища  </t>
  </si>
  <si>
    <t>19050200 </t>
  </si>
  <si>
    <t>Інші збори за забруднення навколишнього природного середовища до Фонду охорони навколишнього природного середовища  </t>
  </si>
  <si>
    <t>19050300 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</si>
  <si>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</si>
  <si>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</si>
  <si>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</si>
  <si>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</si>
  <si>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</si>
  <si>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</si>
  <si>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  </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</si>
  <si>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</si>
  <si>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</si>
  <si>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Адміністративні штрафи та інші санкції</t>
  </si>
  <si>
    <t>Надходження коштів  від відшкодування втрат сільськогосподарського і лісогосподарського виробництва</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</si>
  <si>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</si>
  <si>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</si>
  <si>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</si>
  <si>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 </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</si>
  <si>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</si>
  <si>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</si>
  <si>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</si>
  <si>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</si>
  <si>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</si>
  <si>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</si>
  <si>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</si>
  <si>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t>
  </si>
  <si>
    <t xml:space="preserve">Державне мито, пов’язане з видачею та оформленням закордонних паспортів (посвідок) та паспортів громадян України </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</si>
  <si>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</si>
  <si>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</si>
  <si>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</si>
  <si>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</si>
  <si>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що надійдуть від учасника - переможця процедури закупівлі, під час укладання договору про закупівлю, забезпечення його виконання, які не підлягають поверненню учаснику-переможцю, відповідно до умов договору, в частині здійснення закупівель за рахун</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</si>
  <si>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</si>
  <si>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від операцій з кредитування та надання гарантій  </t>
  </si>
  <si>
    <t xml:space="preserve">Плата за гарантії, надані Верховною Радою Автономної Республіки Крим та міськими радами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</si>
  <si>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</si>
  <si>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</si>
  <si>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 xml:space="preserve">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</si>
  <si>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</si>
  <si>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</si>
  <si>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</si>
  <si>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що здійснюються відповідно до Закону України "Про оренду державного та комунального майна"</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</si>
  <si>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</si>
  <si>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</si>
  <si>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</si>
  <si>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</si>
  <si>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</si>
  <si>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</si>
  <si>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</si>
  <si>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</si>
  <si>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</si>
  <si>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</si>
  <si>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</si>
  <si>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</si>
  <si>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</si>
  <si>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</si>
  <si>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</si>
  <si>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</si>
  <si>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</si>
  <si>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Усього доходів (без урахування міжбюджених трансфертів)</t>
  </si>
  <si>
    <t>Офіційні трансферти</t>
  </si>
  <si>
    <t>Дотації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</si>
  <si>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</si>
  <si>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державного бюджету місцевим бюджетам</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</si>
  <si>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</si>
  <si>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</si>
  <si>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</si>
  <si>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</si>
  <si>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будівництво/реконструкцію палаців спорту</t>
  </si>
  <si>
    <t>Субвенції  з місцевих бюджетів іншим місцевим бюджетам</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</si>
  <si>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</si>
  <si>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</si>
  <si>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</si>
  <si>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</si>
  <si>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</si>
  <si>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безпосереденьо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</si>
  <si>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</si>
  <si>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</si>
  <si>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виплата заробітної плати педагогічним працівникам, які забезпечують здобуття загальної середньої освіти у приватних денних закладах загальної середньої освіти</t>
  </si>
  <si>
    <t>виплата заробітної плати педагогічним працівникам інклюзивно-ресурсних центрів</t>
  </si>
  <si>
    <t xml:space="preserve">Субвенція з місцевого бюджету на здійснення переданих видатків у сфері охорони здоров’я за рахунок коштів медичної субвенції (цільові видатки на лікування хворих на цукровий та нецукровий діабет)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</si>
  <si>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</si>
  <si>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</si>
  <si>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 (на умовах співфінансування)</t>
  </si>
  <si>
    <t>на виконання обласної програми підвищення якості шкільної природничо-математичної освіти на період до 2021 року (на умовах співфінансування)</t>
  </si>
  <si>
    <t>на придбання обладнання для харчоблоку Черкаської спеціалізованої школи І-ІІІ ступенів № 18 імені Вячеслава Чорновола Черкаської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</si>
  <si>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</si>
  <si>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</si>
  <si>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</si>
  <si>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Інші субвенції:</t>
  </si>
  <si>
    <t>на покращення матеріально-технічного стану закладів охорони здоров’я області</t>
  </si>
  <si>
    <t>на виплату обласних стипендій переможцям ІІІ етапу Всеукраїнських учнівських олімпіад з базових дисциплін та ІІ етапу конкурсу - захисту науково - дослідницьких робіт учнів - членів Малої академії наук</t>
  </si>
  <si>
    <t>на здійснення природоохоронних заходів</t>
  </si>
  <si>
    <t>на надання медичної допомоги хворим нефрологічного профілю  (на умовах співфінансування)</t>
  </si>
  <si>
    <t>на пільгове медичне обслуговування громадян, які постраждали внаслідок Чорнобильської катастрофи</t>
  </si>
  <si>
    <t>на виплати для ДЮСШ, які за рейтингом з олімпійських та неолімпійських видів спорту в області посіли 1-3 місце, для закупівлі спортивного інвентарю і обладнання, спортивної форми</t>
  </si>
  <si>
    <t>на виплату одноразової грошової допомоги в розмірі 50 тис.грн (п’ятдесят тисяч гривень) членам сімей осіб, смерть яких пов’язана з проведенням антитерористичної операції в східних регіонах України, а також членам сімей осіб, загибель (смерть) яких пов’язана з виконанням обов’язків військової служби або з проходженням військової служби в особливий період</t>
  </si>
  <si>
    <t>на виконання обласної програми щодо медичного, забезпечення, адаптації, психологічної реабілітації, професійної підготовки (перепідготовки) учасників АТО, родин Героїв Небесної Сотні, постраждалих під час Революції Гідності та бійців-добровольців на 2018-2022 роки (на умовах співфінансування з місцевими бюджетами)</t>
  </si>
  <si>
    <t>на виконання програми розвитку футболу в Черкаській області на 2016-2020 роки</t>
  </si>
  <si>
    <t>на виконання обласної комплексної програми щодо медичного, соціального забезпечення, адаптації, психологічної реабілітації, професійної підготовки (перепідготовки) учасників антитерористичної операції, родин Героїв Небесної сотні, постраждалих під час Революції Гідності та бійців-добровольців на 2018-2022 роки (на умовах спів фінансування з місцевими бюджетами)</t>
  </si>
  <si>
    <t xml:space="preserve">на компенсаційні виплати особам з інвалідністю на бензин, ремонт, технічне обслуговування автомобілів, мотоколясок і на транспортне обслуговування; поховання учасників бойових дій та осіб з інвалідністю внаслідок війни; встановлення телефонів особам з інвалідністю I і II груп </t>
  </si>
  <si>
    <t>на виплату щомісячної допомоги (стипендії) політичним в’язням і репресованим, які проживають на території області</t>
  </si>
  <si>
    <t>на преміювання переможців обласного конкурсу з благоустрою населених пунктів області «Територія комфорту»</t>
  </si>
  <si>
    <t>на виконання обласної програми надання медичної допомоги хворим нефрологічного профілю на 2014-2019 роки (на умовах співфінансування)</t>
  </si>
  <si>
    <t>на виконання обласної програми медикаментозного забезпечення хворих із трансплантованими органами на 2017-2020 роки (на умовах співфінансування)</t>
  </si>
  <si>
    <t>на лікування хворих на цукровий та нецукровий діабет</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</si>
  <si>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</si>
  <si>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</si>
  <si>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</si>
  <si>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на лікування хворих на цукровий діабет інсуліном та нецукровий діабет десмопресином</t>
  </si>
  <si>
    <t>на підтримку окремих закладів охорони здоров'я, які надають вторинну (спеціалізовану) медичну допомогу за програмою державних гарантій медичного обслуговування населення</t>
  </si>
  <si>
    <t>Разом доходів</t>
  </si>
  <si>
    <t xml:space="preserve">Директор департаменту фінансової політики                  
</t>
  </si>
  <si>
    <t>Додаток № 6
до рішення міської ради
"Про міський бюджет міста Черкаси на 2020 рік (23201100000)" від 27.12.2019 № 2-5671
зі змінами від 27.01.2020 № 2-5679,
від 20.02.2020 № 2-5689,
від 16.03.2020 № 2-5699,
від 19.03.2020 № 2-5702,
від 10.04.2020 № 2-5907,
від 12.06.2020 № 2-5931
відповідно до рішення міської ради
від _________ № ______</t>
  </si>
  <si>
    <t>Розподіл коштів бюджету розвитку за об'єктами у 2020 році</t>
  </si>
  <si>
    <t>23201100000</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</si>
  <si>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</si>
  <si>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</si>
  <si>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</si>
  <si>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</si>
  <si>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</si>
  <si>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</si>
  <si>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</si>
  <si>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Придбання програмного забезпечення для системи електронного документообігу</t>
  </si>
  <si>
    <t>Придбання обладнання для реєстрації транспортних засобів (програмно-апаратний комплекс)</t>
  </si>
  <si>
    <t xml:space="preserve">Придбання рухомого металевого стелажного обладнання </t>
  </si>
  <si>
    <t>Департамент освіти та гуманітарної політики</t>
  </si>
  <si>
    <t>Придбання обладнання для дитячих майданчиків ДНЗ № 10</t>
  </si>
  <si>
    <t>Придбання промислової пральної машини ДНЗ № 13</t>
  </si>
  <si>
    <t>Придбання пральної машини ДНЗ № 34 "Дніпряночка"</t>
  </si>
  <si>
    <t>Придбання промислової пральної машини ДНЗ№ 43</t>
  </si>
  <si>
    <t>Придбання побутової техніки та обладнання для ДНЗ № 43</t>
  </si>
  <si>
    <t>Придбання мультимедійної дошки для ДНЗ № 46</t>
  </si>
  <si>
    <t>Придбання ноутбуків для ДНЗ № 46</t>
  </si>
  <si>
    <t>Придбання промислової пральної машини ДНЗ № 59</t>
  </si>
  <si>
    <t>Придбання промислової пральної машини ДНЗ №74</t>
  </si>
  <si>
    <t>Придбання побутової техніки та обладнання для ДНЗ № 74</t>
  </si>
  <si>
    <t>Придбання комп’ютерного обладнання (комп’ютер стаціонарний)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</si>
  <si>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 для надання державної підтримки особам з особливими освітніми потребами)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</si>
  <si>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залишку коштів субвенції з державного бюджету для надання державної підтримки особам з особливими освітніми потребами)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</si>
  <si>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класах закладів загальної середньої освіти (за рахунок субвенції з державного бюджету для надання державної підтримки особам з особливими освітніми потребами)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</si>
  <si>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залишку коштів субвенції з державного бюджету для надання державної підтримки особам з особливими освітніми потребами)</t>
  </si>
  <si>
    <t>Придбання комп'ютерного обладнання для початкових класів закладів загальної середньої освіти згідно з типовим переліком, затвердженим МОН (в т.ч. за рахунок субвенції з державного бюджету для забезпечення якісної, сучасної та доступної загальної середньої освіти «Нова українська школа» - 680 696,00 грн)</t>
  </si>
  <si>
    <t>Придбання обладнання, інвентарю для фізкультурно-спортивних приміщень, засобів навчання, у тому числі навчально-методичної та навчальної літератури, для закладів загальної середньої освіти, що беруть участь у експерименті з реалізації Державного стандарту початкової школи згідно з типовим переліком, затвердженим МОН (за рахунок субвенції з державного бюджету для забезпечення якісної, сучасної та доступної загальної середньої освіти «Нова українська школа»)</t>
  </si>
  <si>
    <t>Придбання навчального обладнання для закладів загальної середньої освіти</t>
  </si>
  <si>
    <t>Придбання мультимедійних комплексів для ГПЛ ЧМР</t>
  </si>
  <si>
    <t>Придбання  обладнання для лінгафонних кабінетів з програмним забезпеченням  для ГПЛ ЧМР (за рахунок субвенції з обласного бюджету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 - 150,0 тис.грн)</t>
  </si>
  <si>
    <t>Придбання інтерактивних дошок для ФІМЛІ</t>
  </si>
  <si>
    <t>Придбання інтерактивної дошки для ЗОШ № 2</t>
  </si>
  <si>
    <t>Придбання шкільних меблів (комплекти учнівських столів зі стільцями) ЗОШ №6</t>
  </si>
  <si>
    <t>Придбання шкільних меблів (інтерактивні дошки) ЗОШ №6</t>
  </si>
  <si>
    <t>Придбання обладнання для кабінету трудового навчання гімназія № 9</t>
  </si>
  <si>
    <t>Придбання звукового обладнання гімназія № 9</t>
  </si>
  <si>
    <t>Придбання комп’ютерної техніки гімназії № 9</t>
  </si>
  <si>
    <t>Придбання комп’ютерної техніки ЗОШ № 12</t>
  </si>
  <si>
    <t>Придбання обладнання в кабінет праці ЗОШ № 12</t>
  </si>
  <si>
    <t>Придбання звукового та освітлювального обладнання ЗОШ №12</t>
  </si>
  <si>
    <t>Придбання обладнання для харчоблоку Черкаської спеціалізованої школи І-ІІІ ступенів № 18 імені Вячеслава Чорновола Черкаської міської ради(за рахунок субвенції з місцевого бюджету за рахунок залишку коштів освітньої субвенції, що утворився на початок бюджетного періоду)</t>
  </si>
  <si>
    <t>Придбання комплекту навчального обладнання для кабінету географії для СШ №20</t>
  </si>
  <si>
    <t>Придбання обладнання довгострокового користування (СЕНСОРНІ ПАНЕЛІ МУЛЬТИТАЧ) СШ №20</t>
  </si>
  <si>
    <t>Придбання інтерактивної дошки, проектора, ноутбука для СШ № 20</t>
  </si>
  <si>
    <t>Придбання комп’ютерної техніки ЗОШ №21</t>
  </si>
  <si>
    <t>Придбання обладнання в кабінет праці ЗОШ №21</t>
  </si>
  <si>
    <t>Придбання звукового та освітлювального обладнання ЗОШ №21</t>
  </si>
  <si>
    <t>Придбання мультимедійної дошки, проектора, телевізора для ЗОШ №21</t>
  </si>
  <si>
    <t>Придбання комп’ютерної техніки ЗОШ №22</t>
  </si>
  <si>
    <t>Придбання обладнання в кабінет праці ЗОШ №22</t>
  </si>
  <si>
    <t>Придбання звукового та освітлювального обладнання ЗОШ№ 22</t>
  </si>
  <si>
    <t>Придбання лічильника тепла ЗОШ № 22</t>
  </si>
  <si>
    <t>Придбання  обладнання для лінгафонних кабінетів з програмним забезпеченням  для гімназії №31 ЧМР (за рахунок субвенції з обласного бюджету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 - 150,0 тис.грн)</t>
  </si>
  <si>
    <t>Придбання шкільних наборів LEGO з програмним забезпеченням для СЮТ ЧМР  (за рахунок субвенції з обласного бюджету на виконання обласної програми підвищення якості шкільної природничо-математичної освіти на період до 2021 року - 250,0 тис.грн)</t>
  </si>
  <si>
    <t>Придбання ноутбуку для ПНЗ БМЦ ЧМР</t>
  </si>
  <si>
    <t>Придбання принтеру для ПНЗ БМЦ ЧМР</t>
  </si>
  <si>
    <t>Придбання телевізору для ПНЗ БМЦ ЧМР</t>
  </si>
  <si>
    <t>Придбання комплекту наборів для гри в шахи ПНЗ БМЦ ЧМР</t>
  </si>
  <si>
    <t>Придбання музичних інструментів для ДМШ № 1 ім. М.В. Лисенка</t>
  </si>
  <si>
    <t>Придбання музичних інструментів для ДМШ № 2</t>
  </si>
  <si>
    <t>Придбання музичних інструментів для ДМШ № 3</t>
  </si>
  <si>
    <t>Придбання музичних інструментів для ДМШ № 5</t>
  </si>
  <si>
    <t>Придбання музичних інструментів для Дитячої школи мистецтв</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</si>
  <si>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</si>
  <si>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залишку коштів субвенції з державного бюджету для надання державної підтримки особам з особливими освітніми потребами)</t>
  </si>
  <si>
    <t xml:space="preserve">Придбання системи відеоспостереження з можливістю дистанційного скринінгу температури </t>
  </si>
  <si>
    <t>4030</t>
  </si>
  <si>
    <t>Придбання книг для поповнення бібліотечного фонду Черкаської міської ЦБС</t>
  </si>
  <si>
    <t>4040</t>
  </si>
  <si>
    <t xml:space="preserve"> Забезпечення діяльності музеїв i виставок</t>
  </si>
  <si>
    <t>Придбання геородару для археологічного музею Середньої Наддніпрянщини ЧМР</t>
  </si>
  <si>
    <t>Придбання штучної новорічної ялинки та новорічних інсталяцій</t>
  </si>
  <si>
    <t>Придбання спортивного інвентарю</t>
  </si>
  <si>
    <t>Придбання спортивного інвентарю для КДЮСШ м. Черкаси згідно Програми розвитку єдиноборств у м. Черкаси на 2019-2023 роки</t>
  </si>
  <si>
    <t>Придбання принтеру для КДЮСШ ЧМР</t>
  </si>
  <si>
    <t>Придбання принтеру кольорового лазерного для КДЮСШ ЧМР</t>
  </si>
  <si>
    <t xml:space="preserve">Придбання спортивного інвентарю в зал вільної боротьби </t>
  </si>
  <si>
    <t>Придбання багатофункціонального пристрою  (ксерокс, принтер, сканер) для ДЮСШ з веслування ЧМР</t>
  </si>
  <si>
    <t>Придбання причіпу-конструкції для перевезення спортивних човнів для ДЮСШ з веслування ЧМР</t>
  </si>
  <si>
    <t>Придбання мотору до човна «Меркурій» для ДЮСШ з веслування ЧМР</t>
  </si>
  <si>
    <t>Придбання акустичної системи для ДЮСШ з веслування ЧМР</t>
  </si>
  <si>
    <t>Придбання комплекту татамі 10х10 товщиною 5 см для КДЮСШ "Вулкан"ЧМР</t>
  </si>
  <si>
    <t xml:space="preserve">Придбання ноутбуку для КДЮСШ № 1 ЧМР </t>
  </si>
  <si>
    <t>Придбання принтеру для КДЮСШ № 2 ЧМР</t>
  </si>
  <si>
    <t>Придбання велосипедів спортивних гоночних для КДЮСШ №2 ЧМР</t>
  </si>
  <si>
    <t>Придбання набору тренажерів для КДЮСШ №2 ЧМР(5од.)</t>
  </si>
  <si>
    <t>Придбання комплекту електронних мішеней для стрільби на 10 м та 50 м КДЮСШ № 2 ЧМР</t>
  </si>
  <si>
    <t>Придбання пістолету Walther LP400 для КДЮСШ № 2 ЧМР</t>
  </si>
  <si>
    <t>Придбання прицілу Gehmann, КДЮСШ № 2  ЧМР</t>
  </si>
  <si>
    <t>Придбання тренажеру для плавання  КДЮСШ № 2 ЧМР (2од.)</t>
  </si>
  <si>
    <t>Придбання телевізору SmartTV 43”для КДЮСШ "Вікторія" ЧМР</t>
  </si>
  <si>
    <t>Придбання мобільної звукової системи для КДЮСШ "Вікторія" ЧМР (2 од.)</t>
  </si>
  <si>
    <t>Придбання принтеру для КДЮСШ "Вікторія" ЧМР</t>
  </si>
  <si>
    <t>Придбання тренажеру : «Біцепс–машина» 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</si>
  <si>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</si>
  <si>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 ЧМР</t>
  </si>
  <si>
    <t>Придбання тренажеру «Піпітра Скотта – біцепс» для КДЮСШ "Вікторія" ЧМР</t>
  </si>
  <si>
    <t>Придбання покришки для килима греко-римської боротьби 16м х 8м, КДЮСШ "Вікторія" ЧМР</t>
  </si>
  <si>
    <t>Придбання штанги олімпійської для КДЮСШ "Вікторія" ЧМР</t>
  </si>
  <si>
    <t>Придбання квартири в м.Черкаси для спортсмена-інструктора національної штатної збірної команди України з футболу серед спортсменів з наслідками ДЦП  чемпіона XV літніх Паралімпійських ігор 2016 року, чемпіона світу 2017 року Кулинича Б.Г.</t>
  </si>
  <si>
    <t>Капітальний ремонт прилеглої території ДНЗ № 1 «Дюймовочка»</t>
  </si>
  <si>
    <t>Капітальний ремонт будівлі  (санітарні вузли) ДНЗ № 1 «Дюймовочка»</t>
  </si>
  <si>
    <t>Капітальний ремонт будівлі (утеплення фасаду)  ДНЗ №2</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</si>
  <si>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</si>
  <si>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2019-2020</t>
  </si>
  <si>
    <t>Капітальний ремонт будівлі (заміна вікон) ДНЗ № 5</t>
  </si>
  <si>
    <t>Капітальний ремонт будівлі (теплообмінник ІТП) ДНЗ № 5</t>
  </si>
  <si>
    <t>Капітальний ремонт будівлі (утеплення фасаду) ДНЗ №9</t>
  </si>
  <si>
    <t>Капітальний ремонт будівлі (групові осередки) ДНЗ № 10</t>
  </si>
  <si>
    <t>Капітальний ремонт будівлі (харчоблок) ДНЗ № 10</t>
  </si>
  <si>
    <t>Капітальний ремонт будівлі (утеплення фасаду) ДНЗ №13</t>
  </si>
  <si>
    <t>Капітальний ремонт будівлі  (утеплення фасаду) ДНЗ № 22</t>
  </si>
  <si>
    <t>Капітальний ремонт будівлі  (санітарні вузли) ДНЗ № 22</t>
  </si>
  <si>
    <t>Капітальний ремонт будівлі (групові осередки) ДНЗ № 29 «Ластівка»</t>
  </si>
  <si>
    <t>Капітальний ремонт будівлі ДНЗ № 29</t>
  </si>
  <si>
    <t>Капітальний ремонт прилеглої території ДНЗ № 29</t>
  </si>
  <si>
    <t xml:space="preserve">Капітальний ремонт будівлі ДНЗ № 30 </t>
  </si>
  <si>
    <t>Капітальний ремонт будівлі ДНЗ № 31</t>
  </si>
  <si>
    <t>Капітальний ремонт будівлі (зовнішні інженерні мережі) ДНЗ № 31</t>
  </si>
  <si>
    <t xml:space="preserve">Капітальний ремонт будівлі (групові осередки) ДНЗ № 33 </t>
  </si>
  <si>
    <t>Капітальний ремонт будівлі (санітарні вузли) ДНЗ № 33</t>
  </si>
  <si>
    <t xml:space="preserve">Капітальний ремонт будівлі (санітарні вузли) ДНЗ № 34 "Дніпряночка" </t>
  </si>
  <si>
    <t>Капітальний ремонт будівлі (харчоблоку) ДНЗ № 34 "Дніпряночка"</t>
  </si>
  <si>
    <t>Капітальний ремонт будівлі ДНЗ № 34</t>
  </si>
  <si>
    <t>Капітальний ремонт будівлі (покрівля) ДНЗ № 34 ЧМР</t>
  </si>
  <si>
    <t xml:space="preserve">Капітальний ремонт будівлі (басейн) ДНЗ №34 </t>
  </si>
  <si>
    <t>Капітальний ремонт будівлі ДНЗ № 35</t>
  </si>
  <si>
    <t>Капітальний ремонт будівлі (утеплення фасаду) ДНЗ №37 «Ракета»</t>
  </si>
  <si>
    <t xml:space="preserve">Капітальний ремонт прилеглої території (павільйони) ДНЗ №37 «Ракета» </t>
  </si>
  <si>
    <t>Капітальний ремонт будівлі (покрівля) ДНЗ № 38</t>
  </si>
  <si>
    <t>Капітальний ремонт будівлі (покрівля) ДНЗ № 39</t>
  </si>
  <si>
    <t xml:space="preserve">Капітальний ремонт будівлі (внутрішні інженерні мережі) ДНЗ № 39 </t>
  </si>
  <si>
    <t xml:space="preserve">Капітальний ремонт прилеглої території ДНЗ № 41 </t>
  </si>
  <si>
    <t xml:space="preserve">Капітальний ремонт будівлі  (групові осередки) ДНЗ № 41 </t>
  </si>
  <si>
    <t>Капітальний ремонт будівлі (групові осередки) ДНЗ № 41 «Дударик»</t>
  </si>
  <si>
    <t>Капітальний ремонт будівлі  ДНЗ №43 (санвузли)</t>
  </si>
  <si>
    <t>Капітальний ремонт будівлі ДНЗ № 45</t>
  </si>
  <si>
    <t>Капітальний ремонт будівлі ДНЗ № 46</t>
  </si>
  <si>
    <t>Капітальний ремонт будівлі ДНЗ № 50</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</si>
  <si>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</si>
  <si>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Капітальний ремонт прилеглої території (огорожа) дошкільного навчального закладу (ясла-садок) №50 "Світлофорчик" Черкаської міської ради по вул. Верхня Горова, 65 в м.Черкаси </t>
  </si>
  <si>
    <t>2020-2021</t>
  </si>
  <si>
    <t xml:space="preserve">Капітальний ремонт будівлі  ДНЗ № 54 </t>
  </si>
  <si>
    <t xml:space="preserve">Капітальний ремонт будівлі ДНЗ № 54 </t>
  </si>
  <si>
    <t>Капітальний ремонт будівлі   (система вентиляції) ДНЗ № 57</t>
  </si>
  <si>
    <t>Капітальний ремонт будівлі  (фасад) ДНЗ № 57</t>
  </si>
  <si>
    <t xml:space="preserve">Капітальний ремонт будівлі (заміна вікон) ДНЗ № 60 </t>
  </si>
  <si>
    <t xml:space="preserve">Капітальний ремонт будівлі ДНЗ № 61 </t>
  </si>
  <si>
    <t>Капітальний ремонт прилеглої території (павільйони)  ДНЗ № 61</t>
  </si>
  <si>
    <t>Капітальний ремонт будівлі (заміна вікон) ДНЗ №62</t>
  </si>
  <si>
    <t>Капітальний ремонт будівлі ДНЗ № 63</t>
  </si>
  <si>
    <t>Капітальний ремонт будівлі (внутрішні мережі опалення) ДНЗ № 73</t>
  </si>
  <si>
    <t xml:space="preserve">Капітальний ремонт будівлі (утеплення фасаду) ДНЗ № 74 </t>
  </si>
  <si>
    <t xml:space="preserve">Капітальний ремонт будівлі (харчоблок) ДНЗ № 74 </t>
  </si>
  <si>
    <t>Капітальний ремонт будівлі (харчоблок) ДНЗ № 76</t>
  </si>
  <si>
    <t>Капітальний ремонт будівлі (утеплення фасаду) ДНЗ № 77</t>
  </si>
  <si>
    <t>Капітальний ремонт будівлі (харчоблок) ДНЗ №77</t>
  </si>
  <si>
    <t>Капітальний ремонт будівлі (санітарні вузли) ДНЗ №77</t>
  </si>
  <si>
    <t>Капітальний ремонт будівлі   (харчоблок) ДНЗ № 78</t>
  </si>
  <si>
    <t xml:space="preserve">Капітальний ремонт будівлі ДНЗ № 78 «Джерельце»  </t>
  </si>
  <si>
    <t xml:space="preserve">Капітальний ремонт будівлі  (пральня) ДНЗ № 81 </t>
  </si>
  <si>
    <t xml:space="preserve">Капітальний  ремонт будівлі ДНЗ №81  </t>
  </si>
  <si>
    <t>Капітальний ремонт будівлі (харчоблок) ДНЗ № 83</t>
  </si>
  <si>
    <t>2018-2020</t>
  </si>
  <si>
    <t>Капітальний ремонт будівлі (внутрішні мережі опалення) ДНЗ № 83</t>
  </si>
  <si>
    <t>Капітальний ремонт будівлі (утеплення фасаду) ДНЗ № 87 «Дельфін»</t>
  </si>
  <si>
    <t>Капітальний ремонт будівлі (басейн) ДНЗ № 90</t>
  </si>
  <si>
    <t>Капітальний ремонт будівлі (пральня) ДНЗ № 91</t>
  </si>
  <si>
    <t>Капітальний ремонт будівлі (вентиляційна система) ДНЗ № 91 "Кобзарик"</t>
  </si>
  <si>
    <t>Капітальний ремонт будівлі (утеплення фасаду) ДНЗ № 91 "Кобзарик"</t>
  </si>
  <si>
    <t>Капітальний ремонтбудівлі ДНЗ № 91 (мощення, тротуарна плитка)</t>
  </si>
  <si>
    <t>Капітальний ремонт будівлі (групові осередки) ДНЗ № 91</t>
  </si>
  <si>
    <t xml:space="preserve">Капітальний ремонт будівлі (утеплення фасаду) ПМГ </t>
  </si>
  <si>
    <t>Капітальний ремонт будівлі ЗОШ № 2</t>
  </si>
  <si>
    <t>Капітальний ремонт будівлі (заміна вікон) ЗОШ № 5</t>
  </si>
  <si>
    <t>Капітальний ремонт будівлі (спортивна зала) ЗОШ № 6</t>
  </si>
  <si>
    <t>Капітальний ремонт спортивного майданчику зі штучним покриттям ЗОШ № 6</t>
  </si>
  <si>
    <t>Капітальний ремонт будівлі  ЗОШ № 8</t>
  </si>
  <si>
    <t xml:space="preserve">Капітальний ремонт прилеглої території  (замощення та освітлення території) Черкаської Гімназії №9 О.М. Луценка </t>
  </si>
  <si>
    <t>Капітальний ремонт будівлі (покрівля) ЗОШ № 10</t>
  </si>
  <si>
    <t>Капітальний ремонт будівлі (спортивна зала) ЗОШ № 11</t>
  </si>
  <si>
    <t xml:space="preserve">Капітальний ремонт будівлі  (заміна вікон) ЗОШ № 12 </t>
  </si>
  <si>
    <t xml:space="preserve">Капітальний ремонт будівлі  (центральний та запасні входи) ЗОШ № 12 </t>
  </si>
  <si>
    <t xml:space="preserve">Капітальний ремонт прилеглої території (огорожа спортивного майданчику) ЗОШ № 12 </t>
  </si>
  <si>
    <t>Капітальний ремонт будівлі  (інженерні мережі каналізації, водопроводу) ЗОШ № 12</t>
  </si>
  <si>
    <t>Капітальний ремонт будівлі (санітарні вузли) Черкаської спеціалізованої школи І-ІІІ ступенів № 13</t>
  </si>
  <si>
    <t>Капітальний ремонт будівлі ЗОШ № 15</t>
  </si>
  <si>
    <t xml:space="preserve">Капітальний ремонт будівлі ЗОШ № 15  </t>
  </si>
  <si>
    <t>Капітальний ремонт будівлі (фасад) СШ № 17</t>
  </si>
  <si>
    <t>Капітальний ремонт будівлі (центральний вхід) СШ № 17</t>
  </si>
  <si>
    <t xml:space="preserve">Капітальний ремонт прилеглої території  (футбольне поле) ЗОШ № 19 </t>
  </si>
  <si>
    <t xml:space="preserve">Капітальний ремонт прилеглої території ЗОШ № 19 </t>
  </si>
  <si>
    <t>Капітальний ремонт будівлі (санітарні вузли) СШ № 20</t>
  </si>
  <si>
    <t xml:space="preserve">Капітальний ремонт будівлі   (санвузли) ЗОШ №22 </t>
  </si>
  <si>
    <t>Капітальний ремонт будівлі ЗОШ №22 (утеплення фасаду)</t>
  </si>
  <si>
    <t>Капітальний ремонт будівлі (внутрішні мережі опалення) ЗОШ № 24</t>
  </si>
  <si>
    <t>Капітальний ремонт прилеглої території ЗОШ № 24</t>
  </si>
  <si>
    <t>Капітальний ремонт будівлі (утеплення фасаду) ЗОШ № 24</t>
  </si>
  <si>
    <t xml:space="preserve">Капітальний ремонт будівлі ЗОШ № 25 </t>
  </si>
  <si>
    <t xml:space="preserve">Капітальний ремонт будівлі ЗОШ № 26 </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</si>
  <si>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</si>
  <si>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будівлі (покрівля) СШ № 28</t>
  </si>
  <si>
    <t>Капітальний ремонт спортивного майданчику зі штучним покриттям ЗОШ № 29</t>
  </si>
  <si>
    <t xml:space="preserve">Капітальний ремонт прилеглої території (спортивний майданчик) Черкаської загальноосвітньої школи І-ІІІ ст. № 30 ЧМР </t>
  </si>
  <si>
    <t>Капітальний ремонт будівлі (заміна вікон та внутрішніх дверей) Черкаської загальноосвітньої школи І-ІІІ ст. № 30 ЧМР</t>
  </si>
  <si>
    <t xml:space="preserve">Капітальний ремонт прилеглої території гімназії  (улаштування тротуарної плитки) № 31 </t>
  </si>
  <si>
    <t>Капітальний ремонт будівлі  (актова зала) гімназії № 31</t>
  </si>
  <si>
    <t xml:space="preserve">Капітальний ремонт будівлі  (тир) гімназія № 31 </t>
  </si>
  <si>
    <t>Капітальний ремонт будівлі СШ № 33</t>
  </si>
  <si>
    <t>Капітальний ремонт будівлі (спортивний зал) НВК ЗОШ № 34</t>
  </si>
  <si>
    <t>Капітальний ремонт будівлі (утеплення фасаду) НВК ЗОШ № 34</t>
  </si>
  <si>
    <t>Капітальний ремонт прилеглої території (огорожа) НВК ЗОШ № 34</t>
  </si>
  <si>
    <t>Капітальний ремонт будівлі (утеплення фасаду) НВК ЗОШ №34</t>
  </si>
  <si>
    <t xml:space="preserve">Капітальний ремонт будівлі (утеплення фасаду) Черкаського колегіуму "Берегиня" </t>
  </si>
  <si>
    <t>Капітальний ремонт будівлі (заміна вікон) Черкаського колегіуму "Берегиня" Черкаської міської ради по вул. Хоменка 14/1 в м. Черкаси</t>
  </si>
  <si>
    <t>Капітальний ремонт будівлі (санітарні вузли) колегіуму "Берегиня"</t>
  </si>
  <si>
    <t>Капітальний ремонт прилеглої території колегіуму "Берегиня" по вул. Хоменка, 14/1 в м. Черкаси</t>
  </si>
  <si>
    <t>Капітальний ремонт будівлі ФІМЛІ ЧМР</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</si>
  <si>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</si>
  <si>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280 в м.Черкаси </t>
  </si>
  <si>
    <t xml:space="preserve">Капітальний ремонт будівлі нежитлового приміщення вул. Чехова 112 в м. Черкаси </t>
  </si>
  <si>
    <t>Капітальний ремонт будівлі (вхідна група) для шахового клубу ПНЗ БМЦ ЧМР</t>
  </si>
  <si>
    <t>Капітальний ремонт будівлі (концертний зал) Черкаської ДМШ № 1 ім. М.В. Лисенка</t>
  </si>
  <si>
    <t>Капітальний ремонт частини приміщень будівлі Черкаської дитячої школи мистецтв по провулку Гастелло, 3 (корпусу № 2)</t>
  </si>
  <si>
    <t>Капітальний ремонт будівлі (утеплення фасаду) корпусу 1 Дитячої школи мистецтв, пров. Гастелло, 3</t>
  </si>
  <si>
    <t>Капітальний ремонт навчальних класів корпусу 1 Дитячої школи мистецтв, пров. Гастелло, 3</t>
  </si>
  <si>
    <t>Капітальний ремонт прилеглої території дитячої школи мистецтв, провулок Гастелло, 3 м. Черкаси</t>
  </si>
  <si>
    <t>Реконструкція будівлі за адресою вул. Вернигори, 19, м.Черкаси</t>
  </si>
  <si>
    <t>Реконструкція прилеглої території (зовнішні мережі освітлення)  ДНЗ № 1 «Дюймовочка»</t>
  </si>
  <si>
    <t xml:space="preserve">Реконструкція прилеглої території (огорожа) дошкільного навчального закладу (ясла-садок) № 2 "Сонечко" Черкаської міської ради по вул.Хрещатик, 261 в м. Черкаси </t>
  </si>
  <si>
    <t>Реконструкція будівлі ДНЗ № 21 (ПКД)</t>
  </si>
  <si>
    <t>Реконструкція прилеглої території (благоустрій) ДНЗ № 22</t>
  </si>
  <si>
    <t>Реконструкція будівлі (фасад) ДНЗ № 29</t>
  </si>
  <si>
    <t>Реконструкція будівлі (басейн) ДНЗ № 34</t>
  </si>
  <si>
    <t>Реконструкція будівлі (фасад) ДНЗ № 45</t>
  </si>
  <si>
    <t xml:space="preserve">Реконструкція будівлі (утеплення) дошкільного навчального закладу (ясла-садок) №50 "Світлофорчик" Черкаської міської ради по вул. Верхня Горова, 65 в м.Черкаси </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</si>
  <si>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</si>
  <si>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Реконструкція будівлі ДНЗ № 54</t>
  </si>
  <si>
    <t>Реконструкція будівлі (фасад) ДНЗ № 59</t>
  </si>
  <si>
    <t>Реконструкція будівлі (фасад) ДНЗ № 73</t>
  </si>
  <si>
    <t>Реконструкція будівлі ДНЗ № 78 (утеплення фасаду)</t>
  </si>
  <si>
    <t>Реконструкція прилеглої території (спортивний майданчик) Перша міська гімназія</t>
  </si>
  <si>
    <t xml:space="preserve">Реконструкція будівлі (спортивний зал) ЗОШ № 5 </t>
  </si>
  <si>
    <t xml:space="preserve">Реконструкція Гімназії №9 з надбудовою рекреаційного приміщення над частиною підвалу (ТИР) </t>
  </si>
  <si>
    <t>Реконструкція будівлі (спортивна зала)  ЗОШ № 12</t>
  </si>
  <si>
    <t>Реконструкція будівлі (утеплення фасаду) СШ № 13</t>
  </si>
  <si>
    <t xml:space="preserve">Реконструкція будівлі (утеплення фасаду) СШ № 13 </t>
  </si>
  <si>
    <t xml:space="preserve">Реконструкція прилеглої території ЗОШ № 15 </t>
  </si>
  <si>
    <t>Реконструкція будівлі  (утеплення фасаду) ЗОШ № 15</t>
  </si>
  <si>
    <t>Реконструкція бігових доріжок гумовим покриттям спеціалізованої школи № 17</t>
  </si>
  <si>
    <t>Реконструкція будівлі (фасад) СШ № 18 (молодша)</t>
  </si>
  <si>
    <t>Реконструкція будівлі (харчоблок) СШ № 18</t>
  </si>
  <si>
    <t>Реконструкція ЗОШ І-ІІІ ступенів № 26 (підвищення енергоефективності закладів освіти в рамках спільного проекту з НЕФКО)</t>
  </si>
  <si>
    <t>2016-2020</t>
  </si>
  <si>
    <t>Реконструкція прилеглої території (покриття синтетична трава) гімназія № 31</t>
  </si>
  <si>
    <t>Капітальний ремонт будівлі ЧМЦБ ім. Лесі Українки</t>
  </si>
  <si>
    <t>Реконструкція будівлі ЧМЦБ ім. Лесі Українки</t>
  </si>
  <si>
    <t>Капітальний ремонт будівлі (внутрішні мережі опалення) за адресою: вул. Смілянська, 94, КДЮСШ № 1</t>
  </si>
  <si>
    <t>Капітальний ремонт будівлі по вул. В.Чорновола, 54/1 для проведеня навчально-тренувальних занять відділень ДЮСШ в м. Черкаси (виготовлення енергетичного сертифікату)</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</si>
  <si>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</si>
  <si>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</si>
  <si>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7361</t>
  </si>
  <si>
    <t>Будівництво стадіону (футбольного поля із поліуретановим покриттям розміром 60x40 м, легкоатлетичними доріжками, трибунами та освітленням) у Черкаській загальноосвітній школі І-ІІІ ступенів №29 Черкаської міської ради Черкаської області, за адресою: вул. Карбишева, 5 м.Черкаси</t>
  </si>
  <si>
    <t>7363</t>
  </si>
  <si>
    <t>Придбання спортивних товарів та інвентарю для ДЮСШ м. Черкаси (в т.ч. субвенція з державного бюджету на соціально-економічний розвиток - 173 830,39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</si>
  <si>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- 8 010,66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</si>
  <si>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- 1 181,79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</si>
  <si>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- 895,63 грн)</t>
  </si>
  <si>
    <t>Реконструкція будівлі Першої міської гімназії Черкаської міської ради за адресою: вул. Святотроїцька, 68 м. Черкаси (в т.ч. субвенція з державного бюджету на соціально-економічний розвиток – 1 643 108,00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</si>
  <si>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- 1 171,85 грн)</t>
  </si>
  <si>
    <t>Внески в статутний капітал  КП "МСК "Дніпро", в т.ч.:</t>
  </si>
  <si>
    <t xml:space="preserve">Придбання багатофункціонального електронного табло ТВ 23-2 для  КП «МСК "Дніпро"» вул. Смілянська, 78 </t>
  </si>
  <si>
    <t>Придбання кріосауни для КП "МСК "Дніпро" ЧМР</t>
  </si>
  <si>
    <t>Придбання комплекту обладнання "смуга перешкод" для КП "МСК "Дніпро" ЧМР</t>
  </si>
  <si>
    <t>Придбання лічильників води ДУ 80 обладнаних радіомодулем  для  КП «МСК "Дніпро"» вул. Смілянська, 78</t>
  </si>
  <si>
    <t>Придбання проектора з екраном для КП "МСК "Дніпро" вул.Смілянська, 78</t>
  </si>
  <si>
    <t>Придбання відеокамери для КП "МСК "Дніпро" вул.Смілянська, 78</t>
  </si>
  <si>
    <t>Придбання комп'ютерної, копіювальної та іншої оргтехніки для КП "МСК "Дніпро" вул.Смілянська, 78</t>
  </si>
  <si>
    <t>Придбання пресу прасувального для КП "МСК "Дніпро" вул.Смілянська, 78</t>
  </si>
  <si>
    <t>Придбання пральної машини для КП "МСК "Дніпро" вул.Смілянська, 78</t>
  </si>
  <si>
    <t>Придбання переносних трибун в ігровий зал  КП «МСК "Дніпро"» вул. Смілянська, 78</t>
  </si>
  <si>
    <t>Придбання машини для сушки постільної білизни для КП "МСК "Дніпро" вул.Смілянська, 78</t>
  </si>
  <si>
    <t>Придбання автобуса для КП "МСК "Дніпро"</t>
  </si>
  <si>
    <t>Капітальний ремонт будівлі спортивного комплексу з басейном на  КП "Центральний стадіон" (роздягальні, фойє)  вул. Смілянська, 78</t>
  </si>
  <si>
    <t xml:space="preserve">Капітальний ремонт будівлі спортивного комплексу з басейном (плавальний басейн) КП «МСК "Дніпро" вул. Смілянська, 78 м.Черкаси (з ПКД) </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</si>
  <si>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</si>
  <si>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Капітальний ремонт будівлі спортивного комплексу з басейном на  КП "Центральний стадіон" (зал боксу)  вул. Смілянська, 78</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</si>
  <si>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</si>
  <si>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Реконструкція будівлі спортивного комплексу з басейном на  КП "Центральний стадіон" (спортивний зал для ігрових видів спорту)  вул. Смілянська, 78</t>
  </si>
  <si>
    <t>Реконструкція прилеглої території (стаціонарна арена для боксу)  КП "Центральний стадіон" вул. Смілянська, 78</t>
  </si>
  <si>
    <t>Будівництво стадіону в районі вул. М. Грушевського та вул. Добровольчих батальйонів в м. Черкаси (з ПКД)</t>
  </si>
  <si>
    <t>Внески в статутний капітал  КП "Спортивний комплекс "Будівельник", в т.ч.:</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</si>
  <si>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</si>
  <si>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Капітальний ремонт будівлі (покрівля) КП "Спортивний комплекс "Будівельник", за адресою: пр-т Хіміків 50/1</t>
  </si>
  <si>
    <t>Будівництво мультифункціонального майданчика для занять ігровими видами спорту за адресою: вулиця Героїв Дніпра в м. Черкаси</t>
  </si>
  <si>
    <t>9770</t>
  </si>
  <si>
    <t>Департамент охорони здоров'я та медичних послуг</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</si>
  <si>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з добудовою відділення екстреної медичної допомоги) (в т.ч. субвенція з державного бюджету на соціально-економічний розвиток – 6 053 279,00 грн)</t>
  </si>
  <si>
    <t>Придбання медичного обладнання (гастроскоп) для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з добудовою відділення екстреної медичної допомоги) (в т.ч. субвенція з державного бюджету на соціально-економічний розвиток – 2 652 000,00 грн)</t>
  </si>
  <si>
    <t>Внески в статутний капітал КНП "Перша Черкаська міська лікарня", в т.ч.:</t>
  </si>
  <si>
    <t xml:space="preserve">Придбання обладнання  і предметів довгострокового користування (комп'ютерне обладнання, медичне обладнання)  для КНП "Перша Черкаська міська лікарня" </t>
  </si>
  <si>
    <t xml:space="preserve">Капітальний ремонт будівлі КНП "Перша Черкаська міська лікарня" (операційний блок) за адресою м. Черкаси, вул. Дахнівська, 32 </t>
  </si>
  <si>
    <t xml:space="preserve">Капітальний ремонт будівлі КНП "Перша Черкаська міська лікарня" (рентгенівського кабінету № 2) по вул. Дахнівська, 32 м. Черкаси </t>
  </si>
  <si>
    <t>Капітальний ремонт будівлі КНП "Перша Черкаська міська лікарня" (неврологічне  відділення ) по вул. Дахнівська, 32 в м. Черкаси</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</si>
  <si>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</si>
  <si>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</si>
  <si>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Капітальний ремонт будівлі КНП «Друга Черкаська міська лікарня відновного лікування» (встановлення протипожежної  сигналізації)</t>
  </si>
  <si>
    <t xml:space="preserve">Капітальний ремонт території КНП «Друга Черкаська міська лікарня відновного лікування» </t>
  </si>
  <si>
    <t>Капітальний ремонт будівлі  КНП «Друга Черкаська міська лікарня відновного лікування» (заміна вікон та утеплення фасаду)</t>
  </si>
  <si>
    <t>Внески в статутний капітал КНП "Третя Черкаська міська лікарня швидкої медичної допомоги", в т.ч.:</t>
  </si>
  <si>
    <t>Придбання обладнання  і предметів довгострокового користування (комп'ютерне обладнання, сервер,  медичне обладнання) для КНП "Третя Черкаська міська лікарня швидкої медичної допомоги" (за рахунок залишку коштів субвенції на здійснення переданих видатків у сфері охорони здоров’я за рахунок коштів медичної субвенції - 1 199 509,70 грн)</t>
  </si>
  <si>
    <t>Придбання мобільної рентгенівської системи з С-дугою для КНП "Третя Черкаська міська лікарня швидкої медичної допомоги"</t>
  </si>
  <si>
    <t>Капітальний ремонт будівлі КНП "Третя Черкаська міська лікарня швидкої медичної допомоги" (операційний блок)</t>
  </si>
  <si>
    <t>Внески в статутний капітал КНП "Черкаська міська інфекційна лікарня" ЧМР, в т.ч.:</t>
  </si>
  <si>
    <t>Придбання обладнання і предметів довгострокового користування (медичне обладнання) для КНП "Черкаська міська інфекційна лікарня"</t>
  </si>
  <si>
    <t>Придбання обладнання і предметів довгострокового користування (медичне обладнання) для КНП "Черкаська міська інфекційна лікарня" (за рахунок субвенції з обласного бюджету на покращення матеріально-технічного стану закладів охорони здоров'я області - 91 000,00 грн)</t>
  </si>
  <si>
    <t>Капітальний ремонт будівлі  КНП "Черкаська міська інфекційна лікарня"</t>
  </si>
  <si>
    <t>Капітальний ремонт будівель КНП "Черкаська міська інфекційна лікарня" (утеплення фасаду)</t>
  </si>
  <si>
    <t>Внески в статутний капітал  КНП "Черкаська міська дитяча лікарня", в т.ч.:</t>
  </si>
  <si>
    <t>Придбання обладнання і предметів довгострокового користування (медичне обладнання) для КНП "Черкаська міська дитяча лікарня" (за рахунок субвенції з обласного бюджету на покращення матеріально-технічного стану закладів охорони здоров'я області - 234 000,00 грн)</t>
  </si>
  <si>
    <t>Придбання обладнання і предметів довгострокового користування (медичне обладнання) для КНП «Черкаська міська дитяча лікарня»</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</si>
  <si>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</si>
  <si>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</si>
  <si>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"Перший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</si>
  <si>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</si>
  <si>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Внески в статутний капітал КНП "Другий Черкаський міський центр первинної медико-санітарної допомоги", в т.ч.:</t>
  </si>
  <si>
    <t xml:space="preserve">Капітальний ремонт будівлі КНП "Другий Черкаський міський центр первинної медико-санітарної допомоги" за адресою м.Черкаси, вул. Кобзарська, 40 </t>
  </si>
  <si>
    <t>Внески в статутний капітал КНП "Четвертий Черкаський міський центр первинної медико-санітарної допомоги", в т.ч.:</t>
  </si>
  <si>
    <t>Капітальний ремонт будівлі КНП "Четвертий Черкаський міський центр первинної медико-санітарної допомоги"</t>
  </si>
  <si>
    <t>Внески в статутний капітал КНП "П'ятий Черкаський міський центр первинної медико-санітарної допомоги", в т.ч.:</t>
  </si>
  <si>
    <t>Придбання обладнання і предметів довгострокового користування (апарат для неінвазивної та інвазивної вентиляції легень) для КНП "П'ятий Черкаський міський центр первинної медико-санітарної допомоги"</t>
  </si>
  <si>
    <t>Внески в статутний капітал  КНП "Черкаська міська дитяча стоматологічна поліклініка",  в т.ч.:</t>
  </si>
  <si>
    <t xml:space="preserve">Капітальний ремонт (встановлення вузла обліку теплової енергії і ІТП системи опалення та вузла обліку гарячого водопостачання)  КНП "Черкаська міська дитяча стоматологічна поліклініка" за адресою вул. В’ячеслава Чорновола, 120 в м. Черкаси  </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</si>
  <si>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</si>
  <si>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(медичне обладнання) для КНП "Черкаський міський пологовий будинок "Центр матері та дитини"</t>
  </si>
  <si>
    <t>Внески в статутний капітал КНП "Черкаська міська консультативно-діагностична поліклініка", в т.ч.:</t>
  </si>
  <si>
    <t>Придбання обладнання і предметів довгострокового користування (медичне обладнання) для КНП «Черкаська міська консультативно-діагностична поліклініка»</t>
  </si>
  <si>
    <t>3104</t>
  </si>
  <si>
    <t xml:space="preserve">Придбання кондиціонерів для територіального центру надання соціальних послуг м. Черкаси </t>
  </si>
  <si>
    <t>3105</t>
  </si>
  <si>
    <t>Придбання обладнання і предметів довгострокового користування (комп’ютерна техніка, оргтехніка, кондиціонери, реабілітаційне обладнання) для центру комплексної реабілітації для осіб з інвалідністю «Жага життя»</t>
  </si>
  <si>
    <t>7323</t>
  </si>
  <si>
    <t>Капітальний ремонт приміщень  корпусу A′-ІІ адміністративної будівлі територіального центру надання соціальних послуг м. Черкаси, за адресою: вул. Гвардійська, 7/5</t>
  </si>
  <si>
    <t>Капітальний ремонт приміщення територіального центру надання соціальних послуг м. Черкаси за адресою: вул. Гвардійська, 7/5</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</si>
  <si>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</si>
  <si>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 А</t>
  </si>
  <si>
    <t>Капітальний ремонт приміщень адміністративної будівлі департаменту соціальної політики Черкаської міської ради за адресою: бул. Шевченка, 307</t>
  </si>
  <si>
    <t>3121</t>
  </si>
  <si>
    <t>Служба у справах дітей</t>
  </si>
  <si>
    <t>Капітальний ремонт,  реконструкція житлового фонду  (крім ОСББ та ЖБК) (Програма співфінансування  капітального ремонту та реконструкції багатоквартирних житлових  будинків та їх прибудинкових територій (крім ОСББ та ЖБК) у місті Черкаси на 2019-2022 роки), з них:</t>
  </si>
  <si>
    <t>Капітальний ремонт прибудинкової території житлових будинків 17 та 17/1 по вул.Митницькій</t>
  </si>
  <si>
    <t>Капітальний ремонт прибудинкової території житлового будинку по вул. В. Чорновола, 122/41 в м. Черкаси</t>
  </si>
  <si>
    <t>Капітальний ремонт системи опалення житлового будинку (встановлення циркуляційного насосу з погодозалежним регулятором температури) по вул. В. Чорновола, 9, м. Черкаси</t>
  </si>
  <si>
    <t>Капітальний ремонт житлового будинку по вул. Благовісна, 180 (покрівля)</t>
  </si>
  <si>
    <t>Капітальний ремонт, реконструкція житлового фонду ОСББ  (Програма підтримки об'єднань співвласників багатоквартирних будинків (ОСББ, асоціацій ОСББ) у м. Черкаси "Формування відповідального власника житла" на 2019-2020 роки ), на умовах співфінансування</t>
  </si>
  <si>
    <t>Капітальний ремонт житлових будинків (ліфтів) (крім ОСББ та ЖБК) (Програма співфінансування  капітального ремонту та реконструкції багатоквартирних житлових  будинків та їх прибудинкових територій (крім ОСББ та ЖБК) у місті Черкаси на 2019-2022 роки)</t>
  </si>
  <si>
    <t>Придбання та встановлення обладнання для дитячого майданчика за адресою вул. Хрещатик 55 у м.Черкаси</t>
  </si>
  <si>
    <t>Придбання та встановлення обладнання для дитячого майданчика у дворі будників по вул. Хрещатик 130, вул. Пушкіна 39 у м.Черкаси</t>
  </si>
  <si>
    <t xml:space="preserve">Придбання та встановлення обладнання для дитячого майданчика у дворі будників 23, 27 по вул. Вернигори в м. Черкаси </t>
  </si>
  <si>
    <t xml:space="preserve">Придбання та встановлення обладнання для дитячого майданчика у дворі будників 25, 29, 31 по вул. Вернигори та будинку №1 по вул. Десантників </t>
  </si>
  <si>
    <t>Придбання та встановлення елементів для майданчика для вигулу та дресирування собак по вул. Г.Дніпра біля будинку 73</t>
  </si>
  <si>
    <t>Капітальний ремонт тенісного корту по вул. Олексія Панченка № 7</t>
  </si>
  <si>
    <t>Капітальний ремонт будівлі по вул. Хоменка, 19 в м. Черкаси</t>
  </si>
  <si>
    <t>Реконструкція контейнерного майданчика для збору ТПВ за адресою вул. Амброса 72</t>
  </si>
  <si>
    <t>Реконструкція контейнерного майданчика для збору ТПВ за адресою вул.Кобзарська 42</t>
  </si>
  <si>
    <t>Реконструкція контейнерного майданчика для збору ТПВ за адресою вул. Хрещатик 130</t>
  </si>
  <si>
    <t>Реконструкція південно-західної частини полігону твердих побутових відходів в районі с. Руська Поляна</t>
  </si>
  <si>
    <t>2019-2021</t>
  </si>
  <si>
    <t xml:space="preserve">Будівництво мережі зовнішнього освітлення прибудинкової території житлових будинків №33, №35 по вул. Анатолія Лупиноса в м.Черкаси </t>
  </si>
  <si>
    <t xml:space="preserve">Будівництво мережі зовнішнього освітлення прибудинкової території житлових будинків № 180, 182, 184 по вул. Благовісна в  м. Черкаси </t>
  </si>
  <si>
    <t xml:space="preserve">Будівництво мережі зовнішнього освітлення прибудинкової території житлового будинку № 299 по вул. Благовісна в  м. Черкаси </t>
  </si>
  <si>
    <t>Будівництво мережі зовнішнього освітлення прибудинкової території житлового будинку №101  по вул. Волкова в м. Черкаси</t>
  </si>
  <si>
    <t xml:space="preserve">Будівництво мережі зовнішнього освітлення прибудинкової території житлового будинку  №85 по  вул. В.Чорновола в м. Черкаси </t>
  </si>
  <si>
    <t xml:space="preserve">Будівництво мережі зовнішнього освітлення прибудинкової території житлового будинку №114/42 по вул. В’ячеслава Чорновола в м.Черкаси </t>
  </si>
  <si>
    <t xml:space="preserve">Будівництво мереж зовнішнього освітлення прибудинкової території житлового будинку №120 по вул. В. Чорновола </t>
  </si>
  <si>
    <t xml:space="preserve">Будівництво мережі зовнішнього освітлення прибудинкової території житлових будинків №120/1, №120/2 по вул. В’ячеслава Чорновола в м.Черкаси </t>
  </si>
  <si>
    <t xml:space="preserve">Будівництво мереж зовнішнього освітлення прибудинкової території житлового будинку №122/41 по вул. В. Чорновола </t>
  </si>
  <si>
    <t xml:space="preserve">Будівництво мережі зовнішнього освітлення прибудинкової території житлового будинку № 315 по вул. Гоголя в м. Черкаси </t>
  </si>
  <si>
    <t xml:space="preserve">Будівництво мережі зовнішнього освітлення прибудинкової території житлових будинків № 17, 17/1 по вул. Митницька в  м. Черкаси </t>
  </si>
  <si>
    <t xml:space="preserve">Будівництво мережі зовнішнього освітлення прибудинкової території житлових будинків № 391 по вул. Надпільна в  м. Черкаси </t>
  </si>
  <si>
    <t>Будівництво мережі зовнішнього освітлення прибудинкової території житлових будинків   №158/1; №158/2; №160; №160/1; №160/2; №160/4 по вул. Нарбутівська в м. Черкаси</t>
  </si>
  <si>
    <t>Будівництво мережі зовнішнього освітлення прибудинкової території житлового будинку  №4  по вул. Різдвяна в м. Черкаси</t>
  </si>
  <si>
    <t xml:space="preserve">Будівництво мережі зовнішнього освітлення прибудинкової території житлових будинків №149, №149/1, №149/2, №151, №153, №153/2, №155, №157 по вул. Самійла Кішки в м. Черкаси </t>
  </si>
  <si>
    <t>Будівництво мережі зовнішнього освітлення прибудинкової території житлових будинків  № 76, 78 по вул. Толстого</t>
  </si>
  <si>
    <t>Будівництво мережі зовнішнього освітлення прибудинкової території житлового будинку  №22 по вул. Толстого в м. Черкаси</t>
  </si>
  <si>
    <t>Будівництво мережі зовнішнього освітлення прибудинкової території житлових будинків  № 46, 48, 50 по вул. Толстого</t>
  </si>
  <si>
    <t>Будівництво мережі зовнішнього освітлення прибудинкової території житлових будинків № 272 по бульвару Шевченка в  м. Черкаси</t>
  </si>
  <si>
    <t>Будівництво мережі зовнішнього освітлення на прибудинковій території житлових будинків № 12, 12/1, 12/2 по вул. Юрія Іллєнка</t>
  </si>
  <si>
    <t>Будівництво мережі зовнішнього освітлення прибудинкової території житлових будинків  № 7, 9, 11 по вул. Юрія Іллєнка</t>
  </si>
  <si>
    <t>Будівництво мереж зовнішнього освітлення вулиць в мкрн. "Поляна" (Яблунева, Г. Буркацької, Івана Кулика, Миколи Лисенка, Городецького, Єфремова, Вишнева)</t>
  </si>
  <si>
    <t>Будівництво мереж зовнішнього освітлення пішохідної алеї від вул. Кобзарська до вул. Берегова</t>
  </si>
  <si>
    <t>Будівництво мережі зовнішнього освітлення пішохідної алеї по вул. Менделєєва</t>
  </si>
  <si>
    <t>Будівництво мережі зовнішнього освітлення велодоріжки по вул. Менделєєва</t>
  </si>
  <si>
    <t xml:space="preserve">Будівництво мережі зовнішнього освітлення пішохідної алеї по вул. Хрещатик від вул. Університетська до вул. Крилова в  м. Черкаси </t>
  </si>
  <si>
    <t xml:space="preserve">Будівництво мережі зовнішнього освітлення пішохідного тротуару по вул. Смілянська від вул. Володимира Ложешнікова до вул. Хоменка (парна сторона) в м. Черкаси </t>
  </si>
  <si>
    <t xml:space="preserve">Будівництво мереж зовнішнього освітлення по вул. Геронимівська </t>
  </si>
  <si>
    <t>Будівництво контейнерного майданчика для збору ТПВ за адресою вул. Амброса 92</t>
  </si>
  <si>
    <t>Будівництво контейнерного майданчика для збору ТПВ за адресою вул. Амброса 94</t>
  </si>
  <si>
    <t>Будівництво контейнерного майданчика ТПВ вул. Благовісна 332</t>
  </si>
  <si>
    <t>Будівництво контейнерного майданчика для збору ТПВ по вул. Генерала Момота, 7, 9, 11</t>
  </si>
  <si>
    <t>Будівництво контейнерного майданчика для збору ТПВ вул.Гетьмана Сагайдачного 231</t>
  </si>
  <si>
    <t xml:space="preserve">Будівництво контейнерного майданчику для збору ТПВ по вул. Гетьмана Сагайдачного, 257 </t>
  </si>
  <si>
    <t>Будівництво контейнерного майданчику для збору ТПВ за адресою вул. Героїв Майдану 8</t>
  </si>
  <si>
    <t>Будівництво контейнерного майданчику для збору ТПВ за адресою вул. Героїв Майдану 12</t>
  </si>
  <si>
    <t xml:space="preserve">Будівництво контейнерного майданчику для збору ТПВ за адресою вул. Припортова, 39 </t>
  </si>
  <si>
    <t>Будівництво контейнерного майданчику для збору ТПВ за адресою вул. Гоголя 409</t>
  </si>
  <si>
    <t>Будівництво контейнерного майданчику для збору ТПВ за адресою вул. Грушевського 152/1</t>
  </si>
  <si>
    <t>Будівництво контейнерного майданчика для збору ТПВ за адресою вул. Добровольського 6</t>
  </si>
  <si>
    <t>Будівництво контейнерного майданчику для збору ТПВ за адресою вул. Надпільна 361</t>
  </si>
  <si>
    <t>Будівництво контейнерного майданчику для збору ТПВ за адресою вул.Нечуя Левицького 18</t>
  </si>
  <si>
    <t>Будівництво контейнерного майданчику для збору ТПВ за адресою вул. Пастерівська 1</t>
  </si>
  <si>
    <t>Будівництво контейнерного майданчику для збору ТПВ за адресою вул. Пастерівська 44</t>
  </si>
  <si>
    <t>Будівництво контейнерного майданчику для збору ТПВ за адресою вул. Руставі 11</t>
  </si>
  <si>
    <t>Будівництво контейнерного майданчику для збору ТПВ за адресою вул. Руставі 15</t>
  </si>
  <si>
    <t>Будівництво контейнерного майданчику для збору ТПВ за адресою вул. Руставі 21</t>
  </si>
  <si>
    <t>Будівництво контейнерного майданчика для збору ТПВ вул. Симиренківська 27</t>
  </si>
  <si>
    <t>Будівництво контейнерного майданчику для збору ТПВ за адресою вул. Сумгаїтська 20</t>
  </si>
  <si>
    <t>Будівництво контейнерного майданчику для збору ТПВ за адресою вул. Тараскова 3</t>
  </si>
  <si>
    <t>Будівництво контейнерного майданчику для збору ТПВ за адресою вул. Тараскова 13</t>
  </si>
  <si>
    <t>Будівництво контейнерного майданчику для збору ТПВ за адресою вул. Нечую Левицького, 2</t>
  </si>
  <si>
    <t>Будівництво контейнерного майданчику для збору ТПВ за адресою вул. Чорновола 241/1</t>
  </si>
  <si>
    <t>Будівництво контейнерного майданчику для збору ТПВ за адресою вул. Ярославська 8/1</t>
  </si>
  <si>
    <t xml:space="preserve">Будівництво міського кладовища в районі вул. Промислової та станції Заводської (ІІ черга) </t>
  </si>
  <si>
    <t>Придбання та монтаж спортивного ігрового майданчика м. Черкаси, вул. Сумгаїтська 51 (в т.ч. субвенція з державного бюджету на соціально-економічний розвиток - 38 488,35 грн)</t>
  </si>
  <si>
    <t>Капітальний ремонт міжквартального проїзду від ж/б № 184 до ж/б № 180 по вул.Благовісна</t>
  </si>
  <si>
    <t>Капітальний ремонт міжквартального проїзду від буд. № 1 по вул. Десантників до житлового будинку № 23 по вул. Вернигори</t>
  </si>
  <si>
    <t>Капітальний ремонт міжквартального проїзду від вул. Чехова до вул. Юрія Іллєнка, 11</t>
  </si>
  <si>
    <t>Капітальний ремонт міжквартального проїзду від вулиці Хоменка до житлового будинку № 1 по вул. Десантників в м.Черкаси (включаючи під'їзд до ДНЗ № 89 "Котигорошко" між будинками № 18 та 18/1 по вул.Хоменка)</t>
  </si>
  <si>
    <t>Капітальний ремонт пішохідної алеї від вул. Героїв Дніпра вздовж житловго будинку № 51 до ЗОШ НВК № 34</t>
  </si>
  <si>
    <t>Капітальний  ремонт пішохідної алеї від вул.Героїв Дніпра вздовж житлового будинку №69 до ДНЗ №34</t>
  </si>
  <si>
    <t>Капітальний ремонт пішохідної алеї від ж/б Генерала Момота 3 до вул. Смаглія (між "Черкаським професійним автодорожнім ліцеєм" та ВПУ ім. Г.Ф. Короленка)</t>
  </si>
  <si>
    <t>Капітальний ремонт пішохідної доріжки по периметру дитячого спортивного комплексу прибудинкової території ж/б № 1, 3, 5, 7 по вул. Генерала Момота</t>
  </si>
  <si>
    <t>Капітальний ремонт пішохідної алеї від вул.Гетьмана Сагайдачного 237 до вул. Подолинського 24</t>
  </si>
  <si>
    <t>Капітальний ремонт пішохідної алеї від ж/б 243 до ж/б № 239 по вул. Г. Сагайдачного в м. Черкаси</t>
  </si>
  <si>
    <t>Капітальний ремонт пішохідної алеї від ж/б № 231 до ж/б № 237 по вул. Г. Сагайдачного в м. Черкаси</t>
  </si>
  <si>
    <t>Капітальний ремонт пішохідної алеї від вул. Г. Сагайдачного до ж/б № 168 м. Черкаси</t>
  </si>
  <si>
    <t>Капітальний ремонт пішохідної алеї від вул. Кобзарська до вул. Берегова</t>
  </si>
  <si>
    <t>Капітальний ремонт пішохідної алеї від ж/б № 24 по вул. Подолинського до ДНЗ № 60 в м. Черкаси</t>
  </si>
  <si>
    <t>Капітальний ремонт пішохідної алеї від ж/б № 2 по вул.С.Смірнова до вул.Гагаріна вздовж ж/б № 49 по вул.Г.Дніпра в м. Черкаси</t>
  </si>
  <si>
    <t>Капітальний ремонт пішохідної алеї по вул. Хрещатик (непарна сторона, від вул. Університетська до вул. Крилова)</t>
  </si>
  <si>
    <t>Капітальний ремонт вул. Амброса (тротуар, парна сторона від вул. Новопричистенська до вул. Іллєнка)</t>
  </si>
  <si>
    <t xml:space="preserve">Капітальний ремонт вул. Благовісна (тротуар, непарна сторона від вул. Митницька до вул. Небесної Сотні) </t>
  </si>
  <si>
    <t xml:space="preserve">Капітальний ремонт вул. Благовісна (тротуар, парна сторона, від вул. Митницька до вул. Небесної Сотні) </t>
  </si>
  <si>
    <t xml:space="preserve">Капітальний ремонт вул. Благовісна (тротуар, парна, непарна сторона від вул. Митницька до вул. Небесної Сотні) </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</si>
  <si>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</si>
  <si>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</si>
  <si>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вул. Вернигори (тротуар, непарна сторона від вул. Смілянська до житлового будинку № 21 по вул. Вернигори)</t>
  </si>
  <si>
    <t>Капітальний ремонт  вул.Гоголя (тротуар, парна сторона від вул.Митницької до вул.Небесної Сотні)</t>
  </si>
  <si>
    <t xml:space="preserve">Капітальний ремонт вул. Гоголя (тротуар, парна сторона, від вул. В.Чорновола до вул. Ю.Іллєнка) в м. Черкаси </t>
  </si>
  <si>
    <t>Капітальний ремонт вул. Гоголя (тротуар, парна та непарна сторона, від вул. Казбетська до вул. Крилова)</t>
  </si>
  <si>
    <t>Капітальний ремонт вул. Десантників (тротуар, парна, непарна сторона) від  вул. Вернигори до вул. Хоменка</t>
  </si>
  <si>
    <t>Капітальний ремонт вул. Іллєнка (тротуар, парна сторона, непарна сторона, від вул. Амброса до вул. Толстого)</t>
  </si>
  <si>
    <t>Капітальний ремонт вул. Крилова (тротуар, парна сторона від вул. Надпільна до вул. І.Гонти)</t>
  </si>
  <si>
    <t>Капітальний ремонт вул. Надпільна (тротуар, непарна сторона, від вул. Пастерівська до вул. Кривалівська)</t>
  </si>
  <si>
    <t>Капітальний ремонт вул. Нарбутівська (тротуар, парна сторона, від вул. Cемеренківська до вул. Подолинського) в м. Черкаси</t>
  </si>
  <si>
    <t>Капітальний ремонт вул. Новопричистенська (тротуар, парна сторона, від вул.Гоголя до вул.Благовісна)</t>
  </si>
  <si>
    <t>Капітальний ремонт вул. Онопрієнка (тротуар, непарна сторона, від вул. Смаглія до ж/б № 1 по вул.Генерала Момота)</t>
  </si>
  <si>
    <t>Капітальний ремонт вул. Пахарів Хутір (тротуар, непарна сторона, від вул. М. Старицького до санаторію "Пролісок")</t>
  </si>
  <si>
    <t>Капітальний ремонт вул. Пацаєва (тротуару від житлового будинку 14 до будинку 24 по вул. Пацаєва)</t>
  </si>
  <si>
    <t>Капітальний ремонт вул. Смаглія (тротуар, парна сторона, від вул. Онопрієнка до вул. О. Панченка)</t>
  </si>
  <si>
    <t xml:space="preserve">Капітальний ремонт вул. Смілянської (тротуар, парна сторона, від вул. Вернигори до вул. Хоменка) в м. Черкаси </t>
  </si>
  <si>
    <t>Капітальний ремонт вул. Смілянська (тротуар, парна сторона від залізничного мосту до вул. Вернигори)</t>
  </si>
  <si>
    <t>Капітальний ремонт вул. Університетська (тротуар, непарна сторона, від вул. Надпільна до вул. І. Гонти)</t>
  </si>
  <si>
    <t>Капітальний ремонт вул. Хрещатик (тротуар, паркувальний майданчик, непарна сторона) від вул. Франка до вул. Пушкіна</t>
  </si>
  <si>
    <t>Капітальний ремонт пров. Поштовий в м.Черкаси</t>
  </si>
  <si>
    <t xml:space="preserve">Капітальний ремонт провулку Рибальський </t>
  </si>
  <si>
    <t>Капітальний ремонт провулку Слобідський</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</si>
  <si>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</si>
  <si>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Капітальний ремонт вул. Весела в м.Черкаси</t>
  </si>
  <si>
    <t>Капітальний ремонт вул. Волкова (від вул. Чорновола до вул. Різдвяної) (в т.ч. паркувальний майданчик поблизу будинку №1 по вул. В. Чорновола) в м. Черкаси</t>
  </si>
  <si>
    <t>Капітальний ремонт вул. Максима Кривоноса (від вул. Героїв Чорнобиля до вул. Крилова)</t>
  </si>
  <si>
    <t>Капітальний ремонт вул. Пацаєва (встановлення світлофору біля ЗОШ № 14) в м. Черкаси</t>
  </si>
  <si>
    <t>Капітальний ремонт вул. Першотравнева в м. Черкаси</t>
  </si>
  <si>
    <t>2018-2022</t>
  </si>
  <si>
    <t>Капітальний ремонт вул. Симиренківська (від вул. Чигиринської до вул. Гетьмана Сагайдачного) в м. Черкаси</t>
  </si>
  <si>
    <t>Капітальний ремонт вул. Університетська (парна сторона, від вул. Надпільна до вул. І. Гонти)</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</si>
  <si>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</si>
  <si>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вул. Бидгощська (тротуар, парна сторона, від вул. С. Кішки до вул. Пастерівська)</t>
  </si>
  <si>
    <t xml:space="preserve">Реконструкція вул. С. Кішки (тротуар, парна сторона, від вул. Бидгощська до вул. Чайковського) </t>
  </si>
  <si>
    <t>Реконструкція вул. Новопричистенська (тротуар, парна сторона, від вул. Нарбутівської до вул. Г. Сагайдачного)</t>
  </si>
  <si>
    <t>Реконструкція узвозу Пастерівський</t>
  </si>
  <si>
    <t>Реконструкція вул. Гагаріна (від парку Сосновий Бір до узвозу Франка) в м. Черкаси</t>
  </si>
  <si>
    <t>Реконструкція вул. Генерела Момота (перехрестя з вулицями Онопрієнка, Лісова Просіка)</t>
  </si>
  <si>
    <t>Реконструкція вул. Смаглія</t>
  </si>
  <si>
    <t>Внески в статутний капітал КПТМ "Черкаситеплокомуненерго", в т.ч.:</t>
  </si>
  <si>
    <t>Внески в статутний капітал КП "Черкаська служба чистоти", у т.ч.:</t>
  </si>
  <si>
    <t>Придбання техніки</t>
  </si>
  <si>
    <t>Внески в статутний капітал КП "Черкасиводоканал", в т.ч.:</t>
  </si>
  <si>
    <t>Реконструкція фонтану на площі 700-річчя міста</t>
  </si>
  <si>
    <t>Реконструкція мережі водопостачання в районі будинків № 162-170 по вулиці Грушевського</t>
  </si>
  <si>
    <t>Будівництво фонтану сухого типу на алеї Генерала Путейка в м. Черкаси</t>
  </si>
  <si>
    <t>Внески в статутний капітал КП "Комбінат комунальних підприємств", в т.ч.:</t>
  </si>
  <si>
    <t>Внески в статутний капітал КП "Дирекція парків", в т.ч.:</t>
  </si>
  <si>
    <t>Придбання туалету в Парк "Перемоги"</t>
  </si>
  <si>
    <t>Придбання системи фільтрації пляж "Казбетський"</t>
  </si>
  <si>
    <t xml:space="preserve">Придбання та встановлення дитячого та спортивного майданчика в сквері "Дружба" </t>
  </si>
  <si>
    <t xml:space="preserve">Придбання та встановлення системи відеоспостереження в парку-пам’ятці садово-паркового мистецтва загальнодержавного значення  "Парк ім. 50-річчя Радянської влади" </t>
  </si>
  <si>
    <t>Придбання обладнання для занять кросфітом</t>
  </si>
  <si>
    <t>Придбання косарки-подрібнювача для трактора</t>
  </si>
  <si>
    <t xml:space="preserve">Придбання майданчика для вигулу та дресирування собак в парку-пам’ятці садово-паркового мистецтва  "Парк ім. 50-річчя Радянської влади" </t>
  </si>
  <si>
    <t xml:space="preserve">Придбання атракціону "Колесо огляду" </t>
  </si>
  <si>
    <t>Капітальний ремонт парку "Казка" в м.Черкаси, вул.Припортова, 23/1</t>
  </si>
  <si>
    <t>Капітальний ремонт  парку-памʼятки садово-паркового мистецтва "Парк ім. Б. Хмельницького" (ремонт доріжок) по вул. Б.Вишневецького в м.Черкаси</t>
  </si>
  <si>
    <t>Капітальний ремонт парку "Європейський" (благоустрій території)</t>
  </si>
  <si>
    <t>Реконструкція Дитячого парку (реконструкція басейну з фонтаном) по вул.Хрещатик 168 в м.Черкаси</t>
  </si>
  <si>
    <t xml:space="preserve">Реконструкція парку-пам’ятки садово-паркового мистецтва "Парк ім. Б. Хмельницького" (реконструкція туалету) </t>
  </si>
  <si>
    <t>Реконструкція парку-пам'ятки садово-паркового мистецтва місцевого значення "Юність" в м. Черкаси</t>
  </si>
  <si>
    <t>Реконструкція спортивного майданчику для занять кросфітом на пляжі "Казбетський"</t>
  </si>
  <si>
    <t>Реконструкція освітлення в Дитячому парку</t>
  </si>
  <si>
    <t>Реконструкція адміністративної будівлі в Дитячому парку по вул. Хрещатик, 168 в м. Черкаси без зміни зовнішніх геометричних розмірів фундаментів (коригування)</t>
  </si>
  <si>
    <t>Реконструкція парку-пам’ятки садово-паркового мистецтва загальнодержавного значення "Парк ім. 50-річчя Радянської влади" (реконструкція освітлення)</t>
  </si>
  <si>
    <t>Реконструкція Набережної ("Митниця" - І черга)</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</si>
  <si>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</si>
  <si>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"Сквер Обласної ради"</t>
  </si>
  <si>
    <t>Реконструкція скверу "Митницький" по вул. Б.Хмельницького в м.Черкаси</t>
  </si>
  <si>
    <t>Реконструкція парку пам'ятки садово-паркового мистецтва загальнодержавного значення  "Парк ім. 50-річчя Радянської влади" (реконструкція мосту)</t>
  </si>
  <si>
    <t>Реконструкція скверу "В'ячеслава Чорновола"</t>
  </si>
  <si>
    <t>Реконструкція парку пам'ятки садово-паркового мистецтва місцевого значення "Парк Хіміків" (реконструкція доріжок)</t>
  </si>
  <si>
    <t>Реконструкція скверу "Пам'ять" (в частині електропостачання)</t>
  </si>
  <si>
    <t>Будівництво мережі освітлення в парку-памʼятці садово-паркового мистецтва "Парк ім. Б. Хмельницького" по вул. Б.Вишневецього в м.Черкаси</t>
  </si>
  <si>
    <t>Будівництво мережі освітлення в парку-пам'ятці садово-паркового мистецтва місцевого значення "Парк Хіміків" по проспекту Хіміків в м.Черкаси</t>
  </si>
  <si>
    <t xml:space="preserve">Будівництво системи поливу в парку-пам’ятці садово-паркового мистецтва місцевого значення  "Парк "Перемоги" по вул.Смілянська, 132/1 в м.Черкаси </t>
  </si>
  <si>
    <t xml:space="preserve">Будівництво пляжу "Соснівський" (зовнішні мережі водопостачання, водовідведення з облаштуванням літніх душових, зовнішні мережі електропостачання) по вул. Гагаріна в м. Черкаси </t>
  </si>
  <si>
    <t>Будівництво громадської вбиральні з облаштуванням кімнати матері та дитини по вул. Гагаріна в м. Черкаси</t>
  </si>
  <si>
    <t>Будівництво (розміщення) атракціону "Колесо огляду" в парку "Сосновий Бір" (відновлення) по вул. Дахнівській, 121 в м. Черкаси</t>
  </si>
  <si>
    <t>Будівництво пляжу "Соснівський" (зовнішні мережі водопостачання, водовідведення з облаштуванням літніх душових, зовнішні мережі електропостачання) по вул. Гагаріна в м. Черкаси</t>
  </si>
  <si>
    <t xml:space="preserve">Будівництво дитячого майданчика на пляжі "Митницький" в м.Черкаси </t>
  </si>
  <si>
    <t>Внески в статутний капітал КП "ЧЕЛУАШ", в т.ч.:</t>
  </si>
  <si>
    <t xml:space="preserve">Придбання комунальної техніки </t>
  </si>
  <si>
    <t>Придбання генератора</t>
  </si>
  <si>
    <t>Придбання дорожнього пилосмоку</t>
  </si>
  <si>
    <t>Придбання конструкцій "Муляж пішохода"</t>
  </si>
  <si>
    <t>Придбання лампи ЛБВК</t>
  </si>
  <si>
    <t>Капітальний ремонт зупинок громадського транспорту</t>
  </si>
  <si>
    <t>Будівництво локальних очисних споруд для очищення зливових (дощових) та талих вод на витоку по вул. Університетської в м. Черкаси</t>
  </si>
  <si>
    <t>Реконструкція адміністративної будівлі по вул. Бидгощській, 13 м. Черкаси</t>
  </si>
  <si>
    <t xml:space="preserve"> Внески в статутний капітал  КП "Міськсвітло", в т.ч.:</t>
  </si>
  <si>
    <t xml:space="preserve">Капітальний ремонт мереж зовнішнього освітлення з встановленням додаткового освітлення пішохідних переходів по вул. Канівська </t>
  </si>
  <si>
    <t>Капітальний ремонт мереж зовнішнього освітлення з встановленням додаткового освітлення пішохідних переходів по вул. Кобзарська в м.Черкаси</t>
  </si>
  <si>
    <t xml:space="preserve">Капітальний ремонт мереж зовнішнього освітлення з встановленням додаткового освітлення пішохідних переходів по вул. Менделєєва </t>
  </si>
  <si>
    <t>Капітальний ремонт мереж зовнішнього освітлення з встановленням додаткового освітлення пішохідних переходів по вул. Різдвяна в м.Черкаси</t>
  </si>
  <si>
    <t>Капітальний ремонт мереж зовнішнього освітлення з встановленням додаткового освітлення пішохідних переходів по вул. Руставі  в м.Черкаси</t>
  </si>
  <si>
    <t>Капітальний ремонт мереж зовнішнього освітлення з встановленням додаткового освітлення пішохідних переходів по вул. Сергія Амброса  в м.Черкаси</t>
  </si>
  <si>
    <t xml:space="preserve">Капітальний ремонт мереж зовнішнього освітлення з встановленням додаткового освітлення пішохідних переходів по вул. Юрія Іллєнка  в м.Черкаси </t>
  </si>
  <si>
    <t>Капітальний ремонт мереж зовнішнього освітлення з встановленням додаткового освітлення пішохідних переходів по вул. Чехова в м. Черкаси</t>
  </si>
  <si>
    <t>Капітальний ремонт мереж зовнішнього освітлення з встановленням додаткового освітлення пішохідних переходів по вул. 30 років Перемоги в м.Черкаси</t>
  </si>
  <si>
    <t>Капітальний ремонт мереж зовнішнього освітлення з встановленням додаткового освітлення пішохідних переходів</t>
  </si>
  <si>
    <t>Реконструкція мережі зовнішнього освітлення прибудинкової території житлових будинків по вул. Вернигори 23, 25, 27, 29</t>
  </si>
  <si>
    <t>Реконструкція мережі зовнішнього освітлення прибудинкової території житлових будинку номер 42 по вул Кобзарська   в м.Черкаси</t>
  </si>
  <si>
    <t>Реконструкція мережі зовнішнього освітлення прибудинкової території житлових будинку номер 50 по вул. 30 років Перемоги в м. Черкаси</t>
  </si>
  <si>
    <t>Реконструкція мережі зовнішнього освітлення прибудинкової території житлових будинків № 4, 6, 8 по вул. Припортова</t>
  </si>
  <si>
    <t>Реконструкція мережі зовнішнього освітлення прибудинкової території житлових будинків по вул Сумгаїтська 14, 16, 18, 20, 24  в м.Черкаси</t>
  </si>
  <si>
    <t>Реконструкція мережі зовнішнього освітлення прибудинкової території житлових будинків по вул Сумгаїтська 26, 28, 30, 32, 34, 36  в м.Черкаси</t>
  </si>
  <si>
    <t xml:space="preserve">Реконструкція мереж зовнішнього освітлення прибудинкової території житлових будинків по  вул. Хоменка 18, 20, 22, 24 в м. Черкаси </t>
  </si>
  <si>
    <t xml:space="preserve">Реконструкція мереж зовнішнього освітлення прибудинкової території житлових будинків по  вул. Хоменка 18/1, 18/2, 24/1 в м. Черкаси </t>
  </si>
  <si>
    <t>Реконструкція мережі зовнішнього освітлення прибудинкової території житлового будинку №82 по  вул. Чехова  в м. Черкаси</t>
  </si>
  <si>
    <t>Реконструкція  мережі зовнішнього освітлення прибудинкової території житлових будинків  №106;  №108; №110 по вул.Чехова в м. Черкаси</t>
  </si>
  <si>
    <t>Реконструкція мережі зовнішнього освітлення вул. Анатолія Лупиноса від вул. Пастерівська до вул. В’ячеслава Чорновола в м. Черкаси</t>
  </si>
  <si>
    <t>Реконструкція мережі зовнішнього освітлення вул. Бидгощська від вул. Пастерівська до вул. В’ячеслава Чорновола в м. Черкаси</t>
  </si>
  <si>
    <t>Реконструкція мережі зовнішнього освітлення вул. Благовісна (від вул. В'ячеслава Чорновола до вул. Добровольського)</t>
  </si>
  <si>
    <t xml:space="preserve">Реконструкція мережі зовнішнього освітлення вул. Гагаріна від  Замкового узвозу до Черкаського міського парку «Сосновий Бір» в м. Черкаси </t>
  </si>
  <si>
    <t xml:space="preserve">Реконструкція мережі зовнішнього освітлення  вул. Генерала Путейка в м. Черкаси </t>
  </si>
  <si>
    <t>Реконструкція мережі зовнішнього освітлення вул. Героїв Холодного Яру (від проспекту Хіміків до ПАТ "Азот")</t>
  </si>
  <si>
    <t xml:space="preserve">Реконструкція мережі зовнішнього освітлення вул. Гетьмана Сагайдачного від вул. В’ячеслава Чорновола до вул. Гуржіївська в м. Черкаси </t>
  </si>
  <si>
    <t xml:space="preserve">Реконструкція мережі зовнішнього освітлення вул. Дахнівська від вул. Менделєєва  до бульвару Шевченка (парна сторона) в м. Черкаси </t>
  </si>
  <si>
    <t xml:space="preserve">Реконструкція мережі зовнішнього освітлення провулку Дмитра Гуні в м. Черкаси </t>
  </si>
  <si>
    <t>Реконструкція мережі зовнішнього освітлення вул. Корольова</t>
  </si>
  <si>
    <t>Реконструкція мережі зовнішнього освітлення провулку Коцюбинського від вул. Самійла Кішки до вул. Пастерівська в м. Черкаси</t>
  </si>
  <si>
    <t>Реконструкція мережі зовнішнього освітлення вул. Максима Кривоноса від  вул. Героїв Чорнобиля до вул. Гагаріна в м. Черкаси</t>
  </si>
  <si>
    <t xml:space="preserve">Реконструкція мережі зовнішнього освітлення вул. Митницька від бульвара  Шевченка до вул. Надпільна в м. Черкаси </t>
  </si>
  <si>
    <t xml:space="preserve">Реконструкція мережі зовнішнього освітлення провулку Михайла Сироти від вул. Самійла Кішки до вул. Пастерівська в м. Черкаси </t>
  </si>
  <si>
    <t>Реконструкція  мережі зовнішнього освітлення вул. Нарбутівська від вул. Чехова до вул. Різдв'яна м. Черкаси</t>
  </si>
  <si>
    <t>Реконструкція мережі зовнішнього освітлення вул. Нечуя Левицького від Проспекту Хіміків до вул. Чайковського в м.Черкаси</t>
  </si>
  <si>
    <t xml:space="preserve">Реконструкція мережі зовнішнього освітлення провулку Павла Бута в м. Черкаси </t>
  </si>
  <si>
    <t>Реконструкція мережі зовнішнього освітлення вул. З0-річчя Перемоги (від вул. Сумгаїтська до вул. Руставі)</t>
  </si>
  <si>
    <t xml:space="preserve">Реконструкція мережі зовнішнього освітлення провулку Полковника Бурляя в м. Черкаси </t>
  </si>
  <si>
    <t>Реконструкція мережі зовнішнього освітлення вул. Припортова</t>
  </si>
  <si>
    <t>Реконструкція мережі зовнішнього освітлення вул. Пушкіна</t>
  </si>
  <si>
    <t>Реконструкція мережі зовнішнього освітлення вул. Святомакаріївська</t>
  </si>
  <si>
    <t>Реконструкція мережі зовнішнього освітлення вул. Сергія Амброса від вул. Іллєнка до вул. Кобзарська  в м.Черкаси</t>
  </si>
  <si>
    <t>Реконструкція мережі зовнішнього освітлення вул. Симоненка</t>
  </si>
  <si>
    <t>Реконструкція мережі зовнішнього освітлення  пров. Слобідський в м. Черкаси</t>
  </si>
  <si>
    <t>Реконструкція мережі зовнішнього освітлення вул. Соснівська</t>
  </si>
  <si>
    <t xml:space="preserve">Реконструкція мережі зовнішнього освітлення вул. Танкістів в м. Черкаси </t>
  </si>
  <si>
    <t>Реконструкція мережі зовнішнього освітлення вул. Франка</t>
  </si>
  <si>
    <t xml:space="preserve">Реконструкція мережі зовнішнього освітлення проспекту Хіміків від вул. Сурікова до вул. Симиренківська в  м. Черкаси </t>
  </si>
  <si>
    <t>Реконструкція мережі зовнішнього освітлення шляхопроводу проспект Хіміків</t>
  </si>
  <si>
    <t>Реконструкція мережі зовнішнього освітлення вул. Чигиринська від вул. Добровольського до вул. Пацаєва в м. Черкаси</t>
  </si>
  <si>
    <t xml:space="preserve">Реконструкція мережі зовнішнього освітлення провулок Яцька Остряниці в м. Черкаси </t>
  </si>
  <si>
    <t>Реконструкція мережі зовнішнього освітлення набережної річкового вокзалу</t>
  </si>
  <si>
    <t>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t>
  </si>
  <si>
    <t>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t>
  </si>
  <si>
    <t xml:space="preserve"> Внески в статутний капітал  КП "Черкаситеплокомуненерго", в т.ч.:</t>
  </si>
  <si>
    <t>Придбання вантажного автомобіля з напівпричипом</t>
  </si>
  <si>
    <t>Придбання лічильників тепла та води</t>
  </si>
  <si>
    <t>Капітальний ремонт безгосподарчих теплових мереж</t>
  </si>
  <si>
    <t>Капітальний ремонт (утеплення фасадів) виробничої будівлі КПТМ «Черкаситеплокомуненерго» по вул. Прикордонника Лазаренка, 6</t>
  </si>
  <si>
    <t>Капітальний ремонт огороджуючих конструкцій з заміною вікон котельні по вул. Онопрієнка, 8 в м. Черкаси</t>
  </si>
  <si>
    <t>Капітальний ремонт огороджуючих конструкцій (з заміною вікон) котельні по вул. Красовського, 10 в м. Черкаси</t>
  </si>
  <si>
    <t>Придбання оприскувачів (бензинових)</t>
  </si>
  <si>
    <t>Управління інспектування</t>
  </si>
  <si>
    <t>Департамент архітектури та містобудування</t>
  </si>
  <si>
    <t>1611020</t>
  </si>
  <si>
    <t>1615031</t>
  </si>
  <si>
    <t>1616030</t>
  </si>
  <si>
    <t xml:space="preserve">Реконструкція житлового будинку по вул. Гагаріна,45 з посиленням несучих конструкцій (усунення аварійного стану першого під'їзду)  </t>
  </si>
  <si>
    <t>2017-2020</t>
  </si>
  <si>
    <t>Капітальний ремонт Черкаської гімназії №9 ім. О.М. Луценка (замощення та освітлення прилеглої території), м. Черкаси</t>
  </si>
  <si>
    <t>Будівництво ДНЗ за адресою вул. Г. Дніпра, 87  м. Черкаси</t>
  </si>
  <si>
    <t>2017-2022</t>
  </si>
  <si>
    <t>1617324</t>
  </si>
  <si>
    <t>1617325</t>
  </si>
  <si>
    <t>Капітальний ремонт дитячого та спортивного майданчиків  у дворі будинку по вул. Героїв Дніпра, 69, м. Черкаси</t>
  </si>
  <si>
    <t>Капітальний ремонт дитячого та спортивного майданчика по вул. Смірнова, 2</t>
  </si>
  <si>
    <t>Реконструкція спортивного багатофункціонального майданчику по вул. Героїв Дніпра 69</t>
  </si>
  <si>
    <t>Реконструкція спортивного майданчику по вул. Луначарського у дворі будинків №1,3,4,5 в м. Черкаси</t>
  </si>
  <si>
    <t>2015-2020</t>
  </si>
  <si>
    <t>Реконструкція спортивного майданчику за адресою: вул.С.Амброса, 147 м. Черкаси</t>
  </si>
  <si>
    <t>2015-2021</t>
  </si>
  <si>
    <t>Реконструкція (асфальтування) баскетбольного майданчику по вул. Генерала Момота, 1,3,5,7, м. Черкаси</t>
  </si>
  <si>
    <t>Реконструкція футбольно-баскетбольної площадки за адресою бульвар Шевченка, 399/1</t>
  </si>
  <si>
    <t>Будівництво дитячого та спортивного майданчика на розі вул. Абрикосова та вул. Онопрієнка, м. Черкаси</t>
  </si>
  <si>
    <t>Розробка детального плану території Замкового узвозу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</si>
  <si>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(4шт)</t>
  </si>
  <si>
    <t>Виготовлення та встановлення скульптур "Воїна захисника" та "Воїна з мечем" меморіального комплексу пам'яті учасників АТО в м. Черкаси</t>
  </si>
  <si>
    <t>Виготовлення та встановлення інформаційної стели меморіального комплексу пам'яті учасників АТО в м. Черкаси</t>
  </si>
  <si>
    <t>Виготовлення та встановлення скульптури "Древо миру - Древо життя" меморіального комплексу пам'яті учасників АТО в м. Черкаси</t>
  </si>
  <si>
    <t>Реконструкція пам'ятника загиблим в Афганістані та інших локальних конфліктах в єдиному меморіальному комплексі по бульвару Шевченка в м. Черкасах</t>
  </si>
  <si>
    <t>Будівництво меморіального комплексу пам'яті учасників АТО в м. Черкаси</t>
  </si>
  <si>
    <t>Капітальний ремонт між квартального проїзду від вул. Пацаєва, 14 до вул. Гетьмана Сагайдачного 241 м. Черкаси</t>
  </si>
  <si>
    <t xml:space="preserve">Капітальний  ремонт внутрішньоквартального проїзду вул. Благовісна буд.330; буд. 332  </t>
  </si>
  <si>
    <t>Капітальний ремонт внутрішньоквартального проїзду від вул. Волкова, 103 до вул. Амброса, 12 м. Черкаси</t>
  </si>
  <si>
    <t>Капітальний ремонт  внутрішньоквартального проїзду по вул. Гетьмана Сагайдачного  від буд. 243 до  вул. Подолинського, 24 м. Черкаси</t>
  </si>
  <si>
    <t>Капітальний ремонт внутрішньоквартального проїзду від  вул. Різдвяна, 62 до вул. Благовісна, 455 в м. Черкаси</t>
  </si>
  <si>
    <t>Капітальний ремонт внутрішньоквартального проїзду вул. Різдвяна буд. 9 до вул. Ю. Іллєнка  буд. 22 в м. Черкаси</t>
  </si>
  <si>
    <t>Капітальний ремонт внутрішньоквартального проїзду вул. Чехова 82, Нарбутівська 187 в м. Черкаси</t>
  </si>
  <si>
    <t>Капітальний ремонт внутрішньоквартального проїзду вул. Чехова 54,56 від вул. Чехова до вул. Гоголя м. Черкаси</t>
  </si>
  <si>
    <t>Капітальний ремонт внутрішньоквартального проїзду від  вул. Ю. Іллєнка, 130 до вул. Різдвяна 115 м. Черкаси</t>
  </si>
  <si>
    <t xml:space="preserve">Капітальний ремонт вул.Пилипенка (тротуар парна сторона) від вул. Пастерівської до вул. М.Залізняка, м. Черкаси </t>
  </si>
  <si>
    <t>Капітальний ремонт бульв. Шевченка (тротуари від вул. Небесної Сотні до вул. Г.Сталінграда), м. Черкаси</t>
  </si>
  <si>
    <t>Капітальний ремонт бульв. Шевченка (тротуари від вул. Припортова до вул. Добровольського), м. Черкаси</t>
  </si>
  <si>
    <t>2018-2021</t>
  </si>
  <si>
    <t>Капітальний ремонт вул. Благовісна від вул. В'ячеслава Чорновола до вул. Добровольського в м. Черкаси</t>
  </si>
  <si>
    <t xml:space="preserve">Капітальний ремонт вул. Нарбутівська від вул. Ю. Іллєнка до вул.  Різдвяна м. Черкаси </t>
  </si>
  <si>
    <t>Капітальний ремонт вул.Сумгаїтська (від вул.Одеська до вул.30-річчя Перемоги) в м.Черкаси</t>
  </si>
  <si>
    <t>2017-2021</t>
  </si>
  <si>
    <t>Капітальний ремонт вул. Ю. Іллєнка від вул. Нарбутівська до вул. Нижня Горова  в м. Черкаси (виготовлення ПКД)</t>
  </si>
  <si>
    <t>Капітальний ремонт бульв. Шевченка від вул. Університетської до вул. Можайського</t>
  </si>
  <si>
    <t>Реконструкція вул. Б. Вишневецького (тротуар) від вул. Хрещатик до Замкового узвозу, м. Черкаси</t>
  </si>
  <si>
    <t>Реконструкція  вул. Пастерівська (тротуар парна сторона) від вул. О. Маламужа до вул. Пилипенка м. Черкаси</t>
  </si>
  <si>
    <t>Реконструкція тротуару по бул.Шевченка (непарна сторона) від вул. Пушкіна до вул. Франка (мощення)</t>
  </si>
  <si>
    <t>Реконструкція сходів з вулиці Верхня Горова до вул. Гагаріна (біля Саду мрій)</t>
  </si>
  <si>
    <t>Реконструкція вул. Героїв Дніпра  (від вул. Богдана Хмельницького до вул. Сержанта Смірнова), м. Черкаси</t>
  </si>
  <si>
    <t>Реконструкція вул. Гагаріна від вул. С.Жужоми до вул. С.Смірнова м. Черкаси</t>
  </si>
  <si>
    <t>Реконструкція вул. Героїв Дніпра  (від вул. Сержанта Жужоми до вул. Богдана Хмельницького), в м. Черкаси</t>
  </si>
  <si>
    <t>2013-2021</t>
  </si>
  <si>
    <t>Реконструкція вул. Героїв Дніпра  (від вул. Сержанта Смірнова до вул. Козацька), в м. Черкаси</t>
  </si>
  <si>
    <t>Реконструкція вул.Добровольського від бул.Шевченка до вул.Сагайдачного м.Черкаси (виготовлення ПКД)</t>
  </si>
  <si>
    <t>Реконструкція вул. Ільїна (від вул. Чорновола до вул. Пацаєва) (І черга)</t>
  </si>
  <si>
    <t>Реконструкція вул.Козацька від вул. Г. Дніпра до набережної м.Черкаси  (виготовлення ПКД)</t>
  </si>
  <si>
    <t xml:space="preserve">Реконструкція вул. Менделєєва від вул. Санаторної до вул. Я. Галана </t>
  </si>
  <si>
    <t>Реконструкція вул. Новопречистенська від вул. Гетьмана Сагайдачного до вул. С. Амброса в м. Черкаси (виготовлення ПКД)</t>
  </si>
  <si>
    <t xml:space="preserve">Реконструкція вул. Різдвяна від вул. Толстого до вул. Нарбутівська м. Черкаси </t>
  </si>
  <si>
    <t>Реконструкція вул. Сержанта Жужоми (від вул. Гагаріна до вул. Героїв Дніпра) в м. Черкаси</t>
  </si>
  <si>
    <t>2016-2021</t>
  </si>
  <si>
    <t>Реконструкція вул. Самійла Кішки від вул. Бидгощська до пр-т Хіміків м. Черкаси (виготовлення ПКД)</t>
  </si>
  <si>
    <t>Реконструкція вул.Сумгаїтської від межі міста до вул. Одеської</t>
  </si>
  <si>
    <t>Реконструкція вул.Чайковського від вул.Максима Залізняка до вул.Вячеслава Чорновола м.Черкаси (виготовлення ПКД)</t>
  </si>
  <si>
    <t>Реконструкція вул. Чехова від вул. Нижня Горова до вул. Гетьмана Сагайдачного м. Черкаси</t>
  </si>
  <si>
    <t>Реконструкція бул. Шевченка від вул. Лазарєва до вул. Б.Вишневецького м. Черкаси</t>
  </si>
  <si>
    <t xml:space="preserve">Реконструкція із застосуванням щебенево-мастичного асфальтобетону вул. Енгельса від бульв. Шевченка до вул. Бидгощської </t>
  </si>
  <si>
    <t>2011-2021</t>
  </si>
  <si>
    <t xml:space="preserve">Реконструкція із застосуванням щебенево-мастичного асфальтобетону вул. Смілянської від вул. Фрунзе до вул. 30- річчя Перемоги </t>
  </si>
  <si>
    <t>Реконструкція із застосуванням щебенево-мастичного асфальтобетону вул. Хрещатик від вул. Котовського до вул. Леніна</t>
  </si>
  <si>
    <t>Реконструкція із застосуванням щебенево-мастичного асфальтобетону бульв. Шевченка (від вул. Лазарєва до вул. Небесної Сотні),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</si>
  <si>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</si>
  <si>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</si>
  <si>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Будівництво вул.Квіткова від вул.Сумгаїтської до вул.Хоменко</t>
  </si>
  <si>
    <t>Будівництво набережної між вул. Козацька та вул. С. Смірнова м. Черкаси (виготовлення ПКД)</t>
  </si>
  <si>
    <r>
      <t xml:space="preserve">Проведення експертної грошової оцінки земельних ділянок
</t>
    </r>
    <r>
      <rPr>
        <i/>
        <sz val="12"/>
        <rFont val="Times New Roman"/>
        <family val="1"/>
      </rPr>
      <t>Програма розвитку земельних відносин та використання і охорони  земель в м. Черкаси на 2019-2023 роки</t>
    </r>
  </si>
  <si>
    <t>Будівництво полігону твердих побутових відходів в районі с. Руська Поляна</t>
  </si>
  <si>
    <t>01111</t>
  </si>
  <si>
    <t>Капітальний ремонт приміщення комітету самоорганізації населення мікрорайону "Соборний" за адресою вул. Митницька 17/1 кв. 40</t>
  </si>
  <si>
    <t>Капітальний ремонт приміщення КСН мікрорайону "Кривалівський" за адресою вул. Чехова, 112 (капітальний ремонт водопровідної та водовідвідної  мереж)</t>
  </si>
  <si>
    <t>Департамент економіки та розвитку</t>
  </si>
  <si>
    <t xml:space="preserve">Художнє освітлення будівель міста </t>
  </si>
  <si>
    <t>Капітальний ремонт будівель станції швидкої медичної допомоги по вул. О.Дашковича, 41, 40-42</t>
  </si>
  <si>
    <t>Капітальний ремонт приміщення майнового комплексу за адресою вул. Благовісна, 170 (корпус И-4, монтаж системи вентиляції)</t>
  </si>
  <si>
    <t>Капітальний ремонт приміщення майнового комплексу за адресою вул.Благовісна, 170 (корпус Д-4, 4 поверх, спортивний зал)</t>
  </si>
  <si>
    <t>Капітальний ремонт прилеглої території (укладання тротуарної плитки) по бул. Шевченка, 307</t>
  </si>
  <si>
    <t>Капітальний ремонт нежитлової будівлі комунальної власності (художнє освітлення будівлі за адресою вул. Хрещатик, 259)</t>
  </si>
  <si>
    <t>Реконструкція будівлі по вул. Кобзарській, 1 (для розміщення кризового центру для жінок - жертв насильства) в м. Черкаси</t>
  </si>
  <si>
    <t>Внески в статутний капітал КП "Черкаські ринки", в т.ч.:</t>
  </si>
  <si>
    <t>Придбання та встановлення обладнання для облаштування ринку (огорожа) по вул.Благовісна, між вул. Небесної Сотні та Смілянською</t>
  </si>
  <si>
    <t>Придбання обладнання для облаштування муніципальних ярмарків (торгівельних павільйонів, прилавків) по вул. Сумгаїтська поблизу будинку 69</t>
  </si>
  <si>
    <t xml:space="preserve">Придбання  та встановлення обладнання для облаштування території (огорожа) по вул. Смілянська, 33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</si>
  <si>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</si>
  <si>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</si>
  <si>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</si>
  <si>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Капітальний ремонт території ринку (укладання тротуарною плиткою)  по вул. Смілянська, 33</t>
  </si>
  <si>
    <t>Реконструкція території по вул. Смілянській, 33 (біля ЦДЮТ)</t>
  </si>
  <si>
    <t xml:space="preserve">Виготовлення, розроблення документації із землеустрою щодо відведення земельних ділянок для КП "Черкаські ринки" </t>
  </si>
  <si>
    <t>Придбання обладнання і предметів довгострокового користування (комп'ютерна техніка, оргтехніка, стелажне обладнання, обладнання для центру обслуговування громадян)</t>
  </si>
  <si>
    <t>Департамент фінансової політики</t>
  </si>
  <si>
    <t>Придбання обладнання і предметів довгострокового користування (комп'ютерна техніка, оргтехніка, кондиціонери)</t>
  </si>
  <si>
    <t>Придбання нематеріальних активів (web-сайт ДФП)</t>
  </si>
  <si>
    <t>Субвенція з місцевого бюджету державному бюджету на виконання програм соціально-економічного розвитку регіонів</t>
  </si>
  <si>
    <t xml:space="preserve">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 </t>
  </si>
  <si>
    <t>Додаток 1
до пояснювальної записки 
до рішення міської ради
від _________ № _______</t>
  </si>
  <si>
    <t>№</t>
  </si>
  <si>
    <t>Найменування</t>
  </si>
  <si>
    <t>Зміни до бюджету
 +/- 
(грн.)</t>
  </si>
  <si>
    <t>І. ЗАГАЛЬНИЙ ФОНД</t>
  </si>
  <si>
    <t>ДОХОДИ</t>
  </si>
  <si>
    <t>Субвенція з місцевого бюджету за рахунок залишку коштів освітньої субвенції, що утворився на початок бюджетного періоду (код 41051100), в т.ч.:</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</si>
  <si>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(код 41051200)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</si>
  <si>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(код 41051400)</t>
  </si>
  <si>
    <t>Інші субвенції (код 41053900), в т.ч.:</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</si>
  <si>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(код 41055000), в т.ч.:</t>
  </si>
  <si>
    <t>Субвенція з державного бюджету місцевим бюджетам на здійснення заходів щодо соціально-економічного розвитку окремих територій (код 41034500)</t>
  </si>
  <si>
    <t>ДЖЕРЕЛА</t>
  </si>
  <si>
    <t>Обсяг коштів, що передаються із загального фонду до бюджету розвитку (спеціального фонду) (за рахунок трансфертів - 12 223 656,00 грн)</t>
  </si>
  <si>
    <t>1. ВИДАТКИ</t>
  </si>
  <si>
    <t>Департамент освіти та гуманітарної політики (видатки споживання):</t>
  </si>
  <si>
    <t>Надання дошкільної освіти (КПКВК 0611010), в т.ч.:</t>
  </si>
  <si>
    <t>оплата праці і нарахування на заробітну плату (за рахунок субвенції з місцевого бюджету на надання державної підтримки особам з особливими освітніми потребами)</t>
  </si>
  <si>
    <t>продукти харчування (за рахунок коштів міського бюджету)</t>
  </si>
  <si>
    <t>оплата комунальних послуг та енергоносіїв</t>
  </si>
  <si>
    <t>Надання загальної середньої освіти закладами загальної середньої освіти (у тому числі з дошкільними підрозділами (відділеннями, групами)) (КПКВК 0611020), в т.ч.:</t>
  </si>
  <si>
    <t>предмети, матеріали, обладнання та інвентар (за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на закупівлю засобів навчання та обладнання для навчальних кабінетів початкової школи)</t>
  </si>
  <si>
    <t>предмети, матеріали, обладнання та інвентар (за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на закупівлю обладнання, інвентарю для фізкультурно-спортивних приміщень, засобів навчання, у тому числі навчально-методичної та навчальної літератури, зошитів з друкованою основою для закладів загальної середньої освіти, що беруть участь у експерименті з реалізації Державного стандарту початкової школи)</t>
  </si>
  <si>
    <t>предмети, матеріали, обладнання та інвентар (за рахунок коштів міського бюджету) (співфінансування на закупівлю засобів навчання та обладнання (крім комп’ютерного) для учнів початкових класів, що навчаються за новими методиками відповідно до Концепції «Нова українська школа»), сучасних меблів для початкових класів)</t>
  </si>
  <si>
    <t>продукти харчування (міська програма організації безкоштовного харчування окремих категорій учнів 1-11 класів закладів загальної середньої освіти комунальної власності міста Черкаси на 2018-2021 роки)</t>
  </si>
  <si>
    <t>оплата комунальних послуг та енергоносіїв (за рахунок коштів міського бюджету)</t>
  </si>
  <si>
    <t>Надання позашкільної освіти закладами позашкільної освіти, заходи із позашкільної роботи з дітьми (КПКВК 0611090), в т.ч.:</t>
  </si>
  <si>
    <t>Надання спеціальної освіти мистецькими школами (КПКВК 0611100), в т.ч.:</t>
  </si>
  <si>
    <t>Підготовка робітничих кадрів закладами професійної (професійно-технічної) освіти та іншими закладами освіти (КПКВК 0611110), в т.ч.:</t>
  </si>
  <si>
    <t>Інші заходи та заклади молодіжної політики (КПКВК 0613133) (програма підтримки сімей та молоді м.Черкаси на 2017-2021 роки), в т.ч.:</t>
  </si>
  <si>
    <t>предмети, матеріали, обладнання та інвентар</t>
  </si>
  <si>
    <t>оплата послуг (крім комунальних)</t>
  </si>
  <si>
    <t>Інші заходи в галузі культури і мистецтва (КПКВК 0614082) (міська програма "Мистецькі Черкаси" на 2020-2024 роки), в т.ч.:</t>
  </si>
  <si>
    <t>інші виплати населенню</t>
  </si>
  <si>
    <t>Утримання та навчально-тренувальна робота комунальних дитячо-юнацьких спортивних шкіл (КПКВК 0615031), в т.ч.:</t>
  </si>
  <si>
    <t>продукти харчування (міська програма розвитку фізичної культури та спорту у м. Черкаси на 2017-2021 роки)</t>
  </si>
  <si>
    <t>видатки на відрядження (міська програма розвитку фізичної культури та спорту у м. Черкаси на 2017-2021 роки)</t>
  </si>
  <si>
    <t>предмети, матеріали, обладнання та інвентар (за рахунок субвенції з обласного бюджету на виплати для ДЮСШ, які за рейтингом з олімпійських та неолімпійських видів спорту в області посіли 1-3 місце, для закупівлі спортивного інвентарю і обладнання, спортивної форми)</t>
  </si>
  <si>
    <t>Утримання та фінансова підтримка спортивних споруд (КПКВК 0615041) (міська програма розвитку фізичної культури та спорту у м. Черкаси на 2017-2021 роки), в т.ч.:</t>
  </si>
  <si>
    <t>субсидії та поточні трансферти підприємствам (установам, організаціям) (КП "Муніципальний спортивний клуб "Дніпро")</t>
  </si>
  <si>
    <t>Підтримка спорту вищих досягнень та організацій, які здійснюють фізкультурно-спортивну діяльність в регіоні (КПКВК 0615062), в т.ч.:</t>
  </si>
  <si>
    <t>субсидії та поточні трансферти підприємствам (установам, організаціям) (міська програма розвитку фізичної культури та спорту у м. Черкаси на 2017-2021 роки) (міська громадська організація "Країна "Баскетболія")</t>
  </si>
  <si>
    <t>інші виплати населенню (міська програма розвитку фізичної культури та спорту у м. Черкаси на 2017-2021 роки) (одноразова допомога за заслуги перед містом)</t>
  </si>
  <si>
    <t>Департамент охорони здоров'я та медичних послуг (видатки розвитку):</t>
  </si>
  <si>
    <t>Багатопрофільна стаціонарна медична допомога населенню (КПКВК 0712010) (міська програма "Багатопрофільна стаціонарна медична допомога населенню міста Черкаси на 2019-2020 роки"), в т.ч.:</t>
  </si>
  <si>
    <t>субсидії та поточні трансферти підприємствам (установам, організаціям)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підтримку окремих закладів охорони здоров'я, які надають вторинну (спеціалізовану) медичну допомогу за програмою державних гарантій медичного обслуговування населення)</t>
  </si>
  <si>
    <t>Амбулаторно-поліклінічна допомога населенню, крім первинної медичної допомоги (КПКВК 0712080) (міська програма "Амбулаторно-поліклінічна допомога жителям міста Черкаси на 2019-2020 роки"), в т.ч.:</t>
  </si>
  <si>
    <t>субсидії та поточні трансферти підприємствам (установам, організаціям) (оплата праці і нарахування на заробітну плату - 1 000 876,40 грн, оплата комунальних послуг та енергоносіїв - 103 000,00 грн)</t>
  </si>
  <si>
    <t>Стоматологічна допомога населенню (КПКВК 0712100) (міська програма "Стоматологічна допомога населенню міста Черкаси на 2019-2020 роки"), в т.ч.:</t>
  </si>
  <si>
    <t>субсидії та поточні трансферти підприємствам (установам, організаціям) (оплата праці і нарахування на заробітну плату - 4 313 557,03 грн, оплата комунальних послуг та енергоносіїв - 33 116,33 грн)</t>
  </si>
  <si>
    <t>Інші програми та заходи у сфері охорони здоров’я (КПКВК 0712152), в т.ч.:</t>
  </si>
  <si>
    <t>оплата послуг (крім комунальних) (міська програма організації і сприяння приписці громадян до призовних дільниць та їх призову на строкову військову службу у 2017-2021)</t>
  </si>
  <si>
    <t>оплата послуг (крім комунальних) (міська програма «Пільгове зубопротезування та планове лікування стоматологічних захворювань окремих категорій громадян міста Черкаси на 2019 - 2020 роки»)</t>
  </si>
  <si>
    <t>Департамент соціальної політики (видатки споживання):</t>
  </si>
  <si>
    <t>Інші заходи у сфері соціального захисту і соціального забезпечення (КПКВК 0813242), в т.ч.:</t>
  </si>
  <si>
    <t>інші виплати населенню (відшкодування витрат за перевезення пільгових категорій громадян, а саме: інвалідів 1 і 2 груп та дітей-інвалідів з вадами опорно-рухового апарату, які пересуваються за допомогою інвалідного візка, автомобілем спеціалізованого призначення) (міська соціальна програма "Турбота" на період з 2018 до 2022)</t>
  </si>
  <si>
    <t>інші виплати населенню (за рахунок субвенції з обласного бюджету на виплату одноразової грошової допомоги в розмірі 50 тис.грн (п’ятдесят тисяч гривень) членам сімей осіб, смерть яких пов’язана з проведенням антитерористичної операції в східних регіонах України, а також членам сімей осіб, загибель (смерть) яких пов’язана з виконанням обов’язків військової служби або з проходженням військової служби в особливий період)</t>
  </si>
  <si>
    <t>інші виплати населенню (за рахунок субвенції з обласного бюджету на виконання обласної програми щодо медичного, забезпечення, адаптації, психологічної реабілітації, професійної підготовки (перепідготовки) учасників АТО, родин Героїв Небесної Сотні, постраждалих під час Революції Гідності та бійців-добровольців на 2018-2022 роки (на умовах співфінансування з місцевими бюджетами))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</si>
  <si>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(КПКВК 0813104), в т.ч.:</t>
  </si>
  <si>
    <t>оплата праці і нарахування на оплату праці (щомісячна муніципальна надбавка соціальним працівникам) (міська соціальна програма "Турбота" на період з 2018 до 2022)</t>
  </si>
  <si>
    <t>оплата праці і нарахування на оплату праці</t>
  </si>
  <si>
    <t>ІІ. СПЕЦІАЛЬНИЙ ФОНД</t>
  </si>
  <si>
    <t>1. БЮДЖЕТ РОЗВИТКУ</t>
  </si>
  <si>
    <t>ВИДАТКИ</t>
  </si>
  <si>
    <t>Департамент освіти та гуманітарної політики (видатки розвитку):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</si>
  <si>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 для надання державної підтримки особам з особливими освітніми потребами)</t>
  </si>
  <si>
    <t>Забезпечення діяльності інших закладів у сфері освіти (КПКВК 0611161), в т.ч.:</t>
  </si>
  <si>
    <t>Будівництво освітніх установ та закладів (КПКВК 0617321), в т.ч.:</t>
  </si>
  <si>
    <t>Виконання інвестиційних проектів в рамках здійснення заходів щодо соціально-економічного розвитку окремих територій (КПКВК 0617363), в т.ч.:</t>
  </si>
  <si>
    <t>Виконання інвестиційних проектів в рамках здійснення заходів щодо соціально-економічного розвитку окремих територій (КПКВК 0717363), в т.ч.:</t>
  </si>
  <si>
    <t>Зміна назви об'єктів бюджету розвитку:</t>
  </si>
  <si>
    <r>
      <rPr>
        <b/>
        <i/>
        <sz val="24"/>
        <rFont val="Times New Roman"/>
        <family val="1"/>
      </rPr>
      <t>з</t>
    </r>
    <r>
      <rPr>
        <i/>
        <sz val="24"/>
        <rFont val="Times New Roman"/>
        <family val="1"/>
      </rPr>
      <t>: 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залишку коштів субвенції з державного бюджету для надання державної підтримки особам з особливими освітніми потребами)</t>
    </r>
  </si>
  <si>
    <r>
      <rPr>
        <b/>
        <i/>
        <sz val="24"/>
        <rFont val="Times New Roman"/>
        <family val="1"/>
      </rPr>
      <t>на</t>
    </r>
    <r>
      <rPr>
        <i/>
        <sz val="24"/>
        <rFont val="Times New Roman"/>
        <family val="1"/>
      </rPr>
      <t>: 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класах закладів загальної середньої освіти (за рахунок залишку коштів субвенції з державного бюджету для надання державної підтримки особам з особливими освітніми потребами)</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</si>
</sst>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00\ _г_р_н_._-;\-* #,##0.00\ _г_р_н_._-;_-* &quot;-&quot;??\ _г_р_н_._-;_-@_-"/>
    <numFmt numFmtId="189" formatCode="* #,##0;* \-#,##0;* &quot;-&quot;;@"/>
    <numFmt numFmtId="190" formatCode="* #,##0.00;* \-#,##0.00;* &quot;-&quot;??;@"/>
    <numFmt numFmtId="191" formatCode="* _-#,##0&quot;р.&quot;;* \-#,##0&quot;р.&quot;;* _-&quot;-&quot;&quot;р.&quot;;@"/>
    <numFmt numFmtId="192" formatCode="* _-#,##0.00&quot;р.&quot;;* \-#,##0.00&quot;р.&quot;;* _-&quot;-&quot;??&quot;р.&quot;;@"/>
    <numFmt numFmtId="193" formatCode="#,##0.0"/>
    <numFmt numFmtId="194" formatCode="0.0"/>
    <numFmt numFmtId="195" formatCode="#,##0.00000"/>
    <numFmt numFmtId="196" formatCode="0.000"/>
    <numFmt numFmtId="197" formatCode="0.0%"/>
    <numFmt numFmtId="198" formatCode="#,##0.000"/>
    <numFmt numFmtId="199" formatCode="#,##0.00_р_."/>
    <numFmt numFmtId="200" formatCode="#,##0.00\ _г_р_н_."/>
    <numFmt numFmtId="201" formatCode="000000"/>
    <numFmt numFmtId="202" formatCode="#,##0.00_ ;[Red]\-#,##0.00\ "/>
    <numFmt numFmtId="203" formatCode="#,##0\ &quot;грн.&quot;;\-#,##0\ &quot;грн.&quot;"/>
    <numFmt numFmtId="204" formatCode="#,##0\ &quot;грн.&quot;;[Red]\-#,##0\ &quot;грн.&quot;"/>
    <numFmt numFmtId="205" formatCode="#,##0.00\ &quot;грн.&quot;;\-#,##0.00\ &quot;грн.&quot;"/>
    <numFmt numFmtId="206" formatCode="#,##0.00\ &quot;грн.&quot;;[Red]\-#,##0.00\ &quot;грн.&quot;"/>
    <numFmt numFmtId="207" formatCode="_-* #,##0\ &quot;грн.&quot;_-;\-* #,##0\ &quot;грн.&quot;_-;_-* &quot;-&quot;\ &quot;грн.&quot;_-;_-@_-"/>
    <numFmt numFmtId="208" formatCode="_-* #,##0\ _г_р_н_._-;\-* #,##0\ _г_р_н_._-;_-* &quot;-&quot;\ _г_р_н_._-;_-@_-"/>
    <numFmt numFmtId="209" formatCode="_-* #,##0.00\ &quot;грн.&quot;_-;\-* #,##0.00\ &quot;грн.&quot;_-;_-* &quot;-&quot;??\ &quot;грн.&quot;_-;_-@_-"/>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
    <numFmt numFmtId="215" formatCode="#,##0.0\ _г_р_н_."/>
    <numFmt numFmtId="216" formatCode="_-* #,##0.00&quot;р.&quot;_-;\-* #,##0.00&quot;р.&quot;_-;_-* \-??&quot;р.&quot;_-;_-@_-"/>
    <numFmt numFmtId="217" formatCode="_-* #,##0.00\ _р_._-;\-* #,##0.00\ _р_._-;_-* &quot;-&quot;??\ _р_._-;_-@_-"/>
    <numFmt numFmtId="218" formatCode="_-* #,##0.00_р_._-;\-* #,##0.00_р_._-;_-* \-??_р_._-;_-@_-"/>
    <numFmt numFmtId="219" formatCode="[$-422]d\ mmmm\ yyyy&quot; р.&quot;"/>
  </numFmts>
  <fonts count="115">
    <font>
      <sz val="10"/>
      <name val="Times New Roman"/>
      <family val="0"/>
    </font>
    <font>
      <b/>
      <sz val="10"/>
      <name val="Arial"/>
      <family val="0"/>
    </font>
    <font>
      <i/>
      <sz val="10"/>
      <name val="Arial"/>
      <family val="0"/>
    </font>
    <font>
      <b/>
      <i/>
      <sz val="10"/>
      <name val="Arial"/>
      <family val="0"/>
    </font>
    <font>
      <b/>
      <sz val="10"/>
      <name val="Times New Roman"/>
      <family val="1"/>
    </font>
    <font>
      <b/>
      <i/>
      <sz val="10"/>
      <name val="Times New Roman"/>
      <family val="1"/>
    </font>
    <font>
      <sz val="9"/>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3"/>
      <name val="Times New Roman"/>
      <family val="1"/>
    </font>
    <font>
      <sz val="10"/>
      <color indexed="8"/>
      <name val="Arial"/>
      <family val="2"/>
    </font>
    <font>
      <b/>
      <i/>
      <sz val="11"/>
      <name val="Times New Roman"/>
      <family val="1"/>
    </font>
    <font>
      <sz val="12"/>
      <name val="Times New Roman CYR"/>
      <family val="1"/>
    </font>
    <font>
      <sz val="8"/>
      <name val="Times New Roman"/>
      <family val="1"/>
    </font>
    <font>
      <sz val="11"/>
      <name val="Times New Roman"/>
      <family val="1"/>
    </font>
    <font>
      <b/>
      <sz val="16"/>
      <name val="Times New Roman"/>
      <family val="1"/>
    </font>
    <font>
      <i/>
      <sz val="10"/>
      <name val="Arial Cyr"/>
      <family val="0"/>
    </font>
    <font>
      <sz val="13"/>
      <name val="Arial Cyr"/>
      <family val="0"/>
    </font>
    <font>
      <i/>
      <sz val="13"/>
      <name val="Arial Cyr"/>
      <family val="0"/>
    </font>
    <font>
      <b/>
      <sz val="11"/>
      <color indexed="10"/>
      <name val="Times New Roman"/>
      <family val="1"/>
    </font>
    <font>
      <sz val="11"/>
      <color indexed="10"/>
      <name val="Times New Roman"/>
      <family val="1"/>
    </font>
    <font>
      <b/>
      <sz val="11"/>
      <color indexed="8"/>
      <name val="Times New Roman"/>
      <family val="1"/>
    </font>
    <font>
      <sz val="11"/>
      <color indexed="8"/>
      <name val="Times New Roman"/>
      <family val="1"/>
    </font>
    <font>
      <i/>
      <sz val="11"/>
      <name val="Times New Roman"/>
      <family val="1"/>
    </font>
    <font>
      <i/>
      <sz val="12"/>
      <name val="Times New Roman"/>
      <family val="1"/>
    </font>
    <font>
      <i/>
      <sz val="11"/>
      <color indexed="8"/>
      <name val="Times New Roman"/>
      <family val="1"/>
    </font>
    <font>
      <b/>
      <sz val="11"/>
      <name val="Times New Roman Cyr"/>
      <family val="1"/>
    </font>
    <font>
      <sz val="11"/>
      <name val="Times New Roman Cyr"/>
      <family val="1"/>
    </font>
    <font>
      <b/>
      <sz val="14"/>
      <name val="Times New Roman"/>
      <family val="1"/>
    </font>
    <font>
      <b/>
      <sz val="10"/>
      <name val="Times New Roman CYR"/>
      <family val="0"/>
    </font>
    <font>
      <sz val="8"/>
      <name val="Times New Roman Cyr"/>
      <family val="0"/>
    </font>
    <font>
      <b/>
      <sz val="10"/>
      <name val="Times New Roman Cyr"/>
      <family val="1"/>
    </font>
    <font>
      <b/>
      <sz val="16"/>
      <name val="Times New Roman Cyr"/>
      <family val="0"/>
    </font>
    <font>
      <b/>
      <sz val="14"/>
      <name val="Times New Roman Cyr"/>
      <family val="1"/>
    </font>
    <font>
      <b/>
      <sz val="18"/>
      <name val="Times New Roman Cyr"/>
      <family val="1"/>
    </font>
    <font>
      <b/>
      <sz val="12"/>
      <name val="Times New Roman Cyr"/>
      <family val="0"/>
    </font>
    <font>
      <b/>
      <sz val="12"/>
      <name val="Times New Roman CYR"/>
      <family val="0"/>
    </font>
    <font>
      <sz val="14"/>
      <name val="Times New Roman"/>
      <family val="1"/>
    </font>
    <font>
      <b/>
      <sz val="14"/>
      <name val="Arial Cyr"/>
      <family val="2"/>
    </font>
    <font>
      <b/>
      <sz val="12"/>
      <name val="Arial Cyr"/>
      <family val="0"/>
    </font>
    <font>
      <b/>
      <sz val="18"/>
      <name val="Times New Roman"/>
      <family val="1"/>
    </font>
    <font>
      <b/>
      <sz val="8"/>
      <name val="Times New Roman"/>
      <family val="1"/>
    </font>
    <font>
      <b/>
      <vertAlign val="superscript"/>
      <sz val="10"/>
      <name val="Times New Roman"/>
      <family val="1"/>
    </font>
    <font>
      <i/>
      <sz val="10"/>
      <name val="Times New Roman"/>
      <family val="1"/>
    </font>
    <font>
      <b/>
      <i/>
      <sz val="12"/>
      <name val="Times New Roman"/>
      <family val="1"/>
    </font>
    <font>
      <sz val="16"/>
      <name val="Times New Roman"/>
      <family val="1"/>
    </font>
    <font>
      <b/>
      <sz val="15"/>
      <color indexed="62"/>
      <name val="Calibri"/>
      <family val="2"/>
    </font>
    <font>
      <b/>
      <sz val="13"/>
      <color indexed="62"/>
      <name val="Calibri"/>
      <family val="2"/>
    </font>
    <font>
      <b/>
      <sz val="11"/>
      <color indexed="62"/>
      <name val="Calibri"/>
      <family val="2"/>
    </font>
    <font>
      <u val="single"/>
      <sz val="10"/>
      <color indexed="12"/>
      <name val="Arial Cyr"/>
      <family val="0"/>
    </font>
    <font>
      <b/>
      <sz val="18"/>
      <color indexed="62"/>
      <name val="Cambria"/>
      <family val="2"/>
    </font>
    <font>
      <sz val="12"/>
      <name val="UkrainianPragmatica"/>
      <family val="0"/>
    </font>
    <font>
      <u val="single"/>
      <sz val="12"/>
      <name val="Times New Roman"/>
      <family val="1"/>
    </font>
    <font>
      <sz val="18"/>
      <name val="Times New Roman"/>
      <family val="1"/>
    </font>
    <font>
      <sz val="9"/>
      <name val="Tahoma"/>
      <family val="2"/>
    </font>
    <font>
      <b/>
      <sz val="9"/>
      <name val="Tahoma"/>
      <family val="2"/>
    </font>
    <font>
      <b/>
      <sz val="11"/>
      <color indexed="9"/>
      <name val="Times New Roman"/>
      <family val="1"/>
    </font>
    <font>
      <sz val="12"/>
      <color indexed="9"/>
      <name val="Times New Roman"/>
      <family val="1"/>
    </font>
    <font>
      <b/>
      <sz val="12"/>
      <color indexed="9"/>
      <name val="Times New Roman"/>
      <family val="1"/>
    </font>
    <font>
      <sz val="10"/>
      <color indexed="10"/>
      <name val="Times New Roman"/>
      <family val="1"/>
    </font>
    <font>
      <sz val="10"/>
      <color indexed="8"/>
      <name val="Times New Roman"/>
      <family val="1"/>
    </font>
    <font>
      <b/>
      <sz val="23"/>
      <name val="Times New Roman"/>
      <family val="1"/>
    </font>
    <font>
      <u val="single"/>
      <sz val="10"/>
      <name val="Times New Roman"/>
      <family val="1"/>
    </font>
    <font>
      <b/>
      <sz val="12"/>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9"/>
      <name val="Times New Roman"/>
      <family val="1"/>
    </font>
    <font>
      <sz val="8"/>
      <color indexed="8"/>
      <name val="Times New Roman"/>
      <family val="1"/>
    </font>
    <font>
      <b/>
      <i/>
      <sz val="10"/>
      <color indexed="8"/>
      <name val="Times New Roman"/>
      <family val="1"/>
    </font>
    <font>
      <b/>
      <i/>
      <sz val="9"/>
      <color indexed="8"/>
      <name val="Times New Roman"/>
      <family val="1"/>
    </font>
    <font>
      <b/>
      <i/>
      <sz val="9"/>
      <name val="Times New Roman"/>
      <family val="1"/>
    </font>
    <font>
      <b/>
      <sz val="9"/>
      <color indexed="10"/>
      <name val="Times New Roman"/>
      <family val="1"/>
    </font>
    <font>
      <sz val="9"/>
      <color indexed="10"/>
      <name val="Times New Roman"/>
      <family val="1"/>
    </font>
    <font>
      <b/>
      <sz val="13"/>
      <color indexed="8"/>
      <name val="Times New Roman"/>
      <family val="1"/>
    </font>
    <font>
      <b/>
      <sz val="20"/>
      <name val="Times New Roman"/>
      <family val="1"/>
    </font>
    <font>
      <b/>
      <sz val="11"/>
      <color indexed="10"/>
      <name val="Calibri"/>
      <family val="2"/>
    </font>
    <font>
      <sz val="11"/>
      <color indexed="19"/>
      <name val="Calibri"/>
      <family val="2"/>
    </font>
    <font>
      <sz val="24"/>
      <name val="Times New Roman"/>
      <family val="1"/>
    </font>
    <font>
      <b/>
      <sz val="24"/>
      <name val="Times New Roman"/>
      <family val="1"/>
    </font>
    <font>
      <i/>
      <sz val="24"/>
      <name val="Times New Roman"/>
      <family val="1"/>
    </font>
    <font>
      <b/>
      <i/>
      <sz val="24"/>
      <name val="Times New Roman"/>
      <family val="1"/>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medium"/>
      <right style="medium"/>
      <top style="thin"/>
      <bottom style="medium"/>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style="thin"/>
      <right/>
      <top style="thin"/>
      <bottom/>
    </border>
    <border>
      <left>
        <color indexed="63"/>
      </left>
      <right style="thin"/>
      <top style="thin"/>
      <bottom>
        <color indexed="63"/>
      </bottom>
    </border>
    <border>
      <left style="hair"/>
      <right style="hair"/>
      <top style="hair"/>
      <bottom style="thin"/>
    </border>
    <border>
      <left style="hair"/>
      <right style="thin"/>
      <top style="hair"/>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s>
  <cellStyleXfs count="2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05" fillId="31"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0" fontId="24" fillId="0" borderId="0">
      <alignment/>
      <protection/>
    </xf>
    <xf numFmtId="0" fontId="24" fillId="0" borderId="0">
      <alignment/>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9" fillId="7" borderId="1" applyNumberFormat="0" applyAlignment="0" applyProtection="0"/>
    <xf numFmtId="0" fontId="9" fillId="7" borderId="1" applyNumberFormat="0" applyAlignment="0" applyProtection="0"/>
    <xf numFmtId="0" fontId="9" fillId="44" borderId="1" applyNumberFormat="0" applyAlignment="0" applyProtection="0"/>
    <xf numFmtId="0" fontId="9" fillId="44" borderId="1"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7" fillId="45" borderId="1" applyNumberFormat="0" applyAlignment="0" applyProtection="0"/>
    <xf numFmtId="0" fontId="17" fillId="45" borderId="1" applyNumberFormat="0" applyAlignment="0" applyProtection="0"/>
    <xf numFmtId="0" fontId="17" fillId="45" borderId="1" applyNumberFormat="0" applyAlignment="0" applyProtection="0"/>
    <xf numFmtId="0" fontId="17" fillId="45" borderId="1" applyNumberFormat="0" applyAlignment="0" applyProtection="0"/>
    <xf numFmtId="0" fontId="25" fillId="0" borderId="0" applyNumberFormat="0" applyFill="0" applyBorder="0" applyAlignment="0" applyProtection="0"/>
    <xf numFmtId="0" fontId="71" fillId="0" borderId="0" applyNumberForma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216" fontId="16" fillId="0" borderId="0" applyFill="0" applyBorder="0" applyAlignment="0" applyProtection="0"/>
    <xf numFmtId="216" fontId="16" fillId="0" borderId="0" applyFill="0" applyBorder="0" applyAlignment="0" applyProtection="0"/>
    <xf numFmtId="170" fontId="23" fillId="0" borderId="0" applyFont="0" applyFill="0" applyBorder="0" applyAlignment="0" applyProtection="0"/>
    <xf numFmtId="0" fontId="7" fillId="4" borderId="0" applyNumberFormat="0" applyBorder="0" applyAlignment="0" applyProtection="0"/>
    <xf numFmtId="0" fontId="106" fillId="0" borderId="3"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107" fillId="0" borderId="5"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108" fillId="0" borderId="7"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10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3" fillId="0" borderId="0">
      <alignment/>
      <protection/>
    </xf>
    <xf numFmtId="0" fontId="26" fillId="0" borderId="0">
      <alignment/>
      <protection/>
    </xf>
    <xf numFmtId="0" fontId="23" fillId="0" borderId="0">
      <alignment/>
      <protection/>
    </xf>
    <xf numFmtId="0" fontId="23"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32" fillId="0" borderId="0">
      <alignment vertical="top"/>
      <protection/>
    </xf>
    <xf numFmtId="0" fontId="20"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46" borderId="11" applyNumberFormat="0" applyAlignment="0" applyProtection="0"/>
    <xf numFmtId="0" fontId="12" fillId="46" borderId="11" applyNumberFormat="0" applyAlignment="0" applyProtection="0"/>
    <xf numFmtId="0" fontId="12" fillId="46" borderId="11" applyNumberFormat="0" applyAlignment="0" applyProtection="0"/>
    <xf numFmtId="0" fontId="12" fillId="46" borderId="1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09" fillId="47" borderId="12" applyNumberFormat="0" applyAlignment="0" applyProtection="0"/>
    <xf numFmtId="0" fontId="0" fillId="0" borderId="0">
      <alignment/>
      <protection/>
    </xf>
    <xf numFmtId="0" fontId="0" fillId="0" borderId="0">
      <alignment/>
      <protection/>
    </xf>
    <xf numFmtId="0" fontId="16" fillId="0" borderId="0">
      <alignment/>
      <protection/>
    </xf>
    <xf numFmtId="0" fontId="23" fillId="0" borderId="0">
      <alignment/>
      <protection/>
    </xf>
    <xf numFmtId="0" fontId="104" fillId="0" borderId="0">
      <alignment/>
      <protection/>
    </xf>
    <xf numFmtId="0" fontId="104"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protection/>
    </xf>
    <xf numFmtId="0" fontId="1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protection/>
    </xf>
    <xf numFmtId="0" fontId="104" fillId="0" borderId="0">
      <alignment/>
      <protection/>
    </xf>
    <xf numFmtId="0" fontId="16" fillId="0" borderId="0">
      <alignment/>
      <protection/>
    </xf>
    <xf numFmtId="0" fontId="23" fillId="0" borderId="0">
      <alignment/>
      <protection/>
    </xf>
    <xf numFmtId="0" fontId="16" fillId="0" borderId="0">
      <alignment/>
      <protection/>
    </xf>
    <xf numFmtId="0" fontId="16" fillId="0" borderId="0">
      <alignment/>
      <protection/>
    </xf>
    <xf numFmtId="0" fontId="16" fillId="0" borderId="0">
      <alignment/>
      <protection/>
    </xf>
    <xf numFmtId="0" fontId="24" fillId="0" borderId="0">
      <alignment/>
      <protection/>
    </xf>
    <xf numFmtId="0" fontId="24" fillId="0" borderId="0">
      <alignment/>
      <protection/>
    </xf>
    <xf numFmtId="0" fontId="34"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16" fillId="0" borderId="0">
      <alignment/>
      <protection/>
    </xf>
    <xf numFmtId="0" fontId="27" fillId="0" borderId="0" applyNumberFormat="0" applyFill="0" applyBorder="0" applyAlignment="0" applyProtection="0"/>
    <xf numFmtId="0" fontId="110" fillId="0" borderId="13" applyNumberFormat="0" applyFill="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1" fillId="4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49" borderId="14" applyNumberFormat="0" applyFont="0" applyAlignment="0" applyProtection="0"/>
    <xf numFmtId="0" fontId="16" fillId="49" borderId="14" applyNumberFormat="0" applyFont="0" applyAlignment="0" applyProtection="0"/>
    <xf numFmtId="0" fontId="16" fillId="49" borderId="14" applyNumberFormat="0" applyFont="0" applyAlignment="0" applyProtection="0"/>
    <xf numFmtId="0" fontId="0" fillId="50" borderId="15" applyNumberFormat="0" applyFont="0" applyAlignment="0" applyProtection="0"/>
    <xf numFmtId="192" fontId="1" fillId="0" borderId="0" applyFont="0" applyFill="0" applyBorder="0" applyAlignment="0" applyProtection="0"/>
    <xf numFmtId="9" fontId="23" fillId="0" borderId="0" applyFont="0" applyFill="0" applyBorder="0" applyAlignment="0" applyProtection="0"/>
    <xf numFmtId="0" fontId="112" fillId="47" borderId="16" applyNumberFormat="0" applyAlignment="0" applyProtection="0"/>
    <xf numFmtId="0" fontId="20" fillId="0" borderId="9"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3" fillId="51" borderId="0" applyNumberFormat="0" applyBorder="0" applyAlignment="0" applyProtection="0"/>
    <xf numFmtId="0" fontId="22" fillId="0" borderId="0">
      <alignment/>
      <protection/>
    </xf>
    <xf numFmtId="0" fontId="11" fillId="0" borderId="0" applyNumberFormat="0" applyFill="0" applyBorder="0" applyAlignment="0" applyProtection="0"/>
    <xf numFmtId="0" fontId="1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9" fontId="23" fillId="0" borderId="0" applyFont="0" applyFill="0" applyBorder="0" applyAlignment="0" applyProtection="0"/>
    <xf numFmtId="217" fontId="73" fillId="0" borderId="0" applyFont="0" applyFill="0" applyBorder="0" applyAlignment="0" applyProtection="0"/>
    <xf numFmtId="191" fontId="1" fillId="0" borderId="0" applyFont="0" applyFill="0" applyBorder="0" applyAlignment="0" applyProtection="0"/>
    <xf numFmtId="9" fontId="1" fillId="0" borderId="0" applyFont="0" applyFill="0" applyBorder="0" applyAlignment="0" applyProtection="0"/>
    <xf numFmtId="218" fontId="16" fillId="0" borderId="0" applyFill="0" applyBorder="0" applyAlignment="0" applyProtection="0"/>
    <xf numFmtId="218" fontId="16" fillId="0" borderId="0" applyFill="0" applyBorder="0" applyAlignment="0" applyProtection="0"/>
    <xf numFmtId="171" fontId="23" fillId="0" borderId="0" applyFont="0" applyFill="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cellStyleXfs>
  <cellXfs count="1053">
    <xf numFmtId="0" fontId="0" fillId="0" borderId="0" xfId="0" applyAlignment="1">
      <alignment/>
    </xf>
    <xf numFmtId="0" fontId="0" fillId="0" borderId="0" xfId="0" applyNumberFormat="1" applyFont="1" applyFill="1" applyAlignment="1" applyProtection="1">
      <alignment/>
      <protection/>
    </xf>
    <xf numFmtId="0" fontId="36" fillId="0" borderId="0" xfId="0" applyNumberFormat="1" applyFont="1" applyFill="1" applyAlignment="1" applyProtection="1">
      <alignment vertical="center" wrapText="1"/>
      <protection/>
    </xf>
    <xf numFmtId="0" fontId="0" fillId="0" borderId="0" xfId="0" applyFill="1" applyAlignment="1">
      <alignment/>
    </xf>
    <xf numFmtId="0" fontId="36" fillId="0" borderId="18" xfId="0" applyNumberFormat="1" applyFont="1" applyFill="1" applyBorder="1" applyAlignment="1" applyProtection="1">
      <alignment horizontal="right" vertical="center"/>
      <protection/>
    </xf>
    <xf numFmtId="0" fontId="21" fillId="0" borderId="19"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6" fillId="0" borderId="0" xfId="0" applyFont="1" applyFill="1" applyAlignment="1">
      <alignment/>
    </xf>
    <xf numFmtId="0" fontId="4" fillId="0" borderId="19" xfId="0" applyNumberFormat="1" applyFont="1" applyFill="1" applyBorder="1" applyAlignment="1" applyProtection="1">
      <alignment horizontal="center" vertical="center" wrapText="1"/>
      <protection/>
    </xf>
    <xf numFmtId="0" fontId="30" fillId="44" borderId="19" xfId="0" applyNumberFormat="1" applyFont="1" applyFill="1" applyBorder="1" applyAlignment="1" applyProtection="1">
      <alignment horizontal="center" vertical="center"/>
      <protection/>
    </xf>
    <xf numFmtId="2" fontId="21" fillId="44" borderId="19" xfId="0" applyNumberFormat="1" applyFont="1" applyFill="1" applyBorder="1" applyAlignment="1" applyProtection="1">
      <alignment vertical="center" wrapText="1"/>
      <protection/>
    </xf>
    <xf numFmtId="4" fontId="30" fillId="44" borderId="19"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30" fillId="0" borderId="19" xfId="0" applyNumberFormat="1" applyFont="1" applyFill="1" applyBorder="1" applyAlignment="1" applyProtection="1">
      <alignment horizontal="center" vertical="center"/>
      <protection/>
    </xf>
    <xf numFmtId="2" fontId="21" fillId="0" borderId="19" xfId="0" applyNumberFormat="1" applyFont="1" applyFill="1" applyBorder="1" applyAlignment="1" applyProtection="1">
      <alignment vertical="center" wrapText="1"/>
      <protection/>
    </xf>
    <xf numFmtId="4" fontId="30" fillId="0" borderId="19" xfId="0" applyNumberFormat="1" applyFont="1" applyFill="1" applyBorder="1" applyAlignment="1" applyProtection="1">
      <alignment horizontal="right" vertical="center"/>
      <protection/>
    </xf>
    <xf numFmtId="0" fontId="0" fillId="0" borderId="0" xfId="0" applyFont="1" applyAlignment="1">
      <alignment/>
    </xf>
    <xf numFmtId="0" fontId="36" fillId="0" borderId="19" xfId="0" applyNumberFormat="1" applyFont="1" applyFill="1" applyBorder="1" applyAlignment="1" applyProtection="1">
      <alignment horizontal="center" vertical="center"/>
      <protection/>
    </xf>
    <xf numFmtId="2" fontId="29" fillId="0" borderId="19" xfId="0" applyNumberFormat="1" applyFont="1" applyFill="1" applyBorder="1" applyAlignment="1" applyProtection="1">
      <alignment vertical="center" wrapText="1"/>
      <protection/>
    </xf>
    <xf numFmtId="4" fontId="36" fillId="0" borderId="19" xfId="0" applyNumberFormat="1" applyFont="1" applyFill="1" applyBorder="1" applyAlignment="1" applyProtection="1">
      <alignment horizontal="right" vertical="center"/>
      <protection/>
    </xf>
    <xf numFmtId="0" fontId="38" fillId="0" borderId="0" xfId="0" applyFont="1" applyAlignment="1">
      <alignment/>
    </xf>
    <xf numFmtId="0" fontId="39" fillId="0" borderId="0" xfId="0" applyFont="1" applyAlignment="1">
      <alignment/>
    </xf>
    <xf numFmtId="0" fontId="40" fillId="0" borderId="0" xfId="0" applyFont="1" applyAlignment="1">
      <alignment/>
    </xf>
    <xf numFmtId="4" fontId="41" fillId="0" borderId="19" xfId="0" applyNumberFormat="1" applyFont="1" applyFill="1" applyBorder="1" applyAlignment="1" applyProtection="1">
      <alignment horizontal="right" vertical="center"/>
      <protection/>
    </xf>
    <xf numFmtId="4" fontId="42" fillId="0" borderId="19" xfId="0" applyNumberFormat="1" applyFont="1" applyFill="1" applyBorder="1" applyAlignment="1" applyProtection="1">
      <alignment horizontal="right" vertical="center"/>
      <protection/>
    </xf>
    <xf numFmtId="4" fontId="43" fillId="44" borderId="19" xfId="0" applyNumberFormat="1" applyFont="1" applyFill="1" applyBorder="1" applyAlignment="1" applyProtection="1">
      <alignment horizontal="right" vertical="center"/>
      <protection/>
    </xf>
    <xf numFmtId="4" fontId="44" fillId="44" borderId="19" xfId="0" applyNumberFormat="1" applyFont="1" applyFill="1" applyBorder="1" applyAlignment="1" applyProtection="1">
      <alignment horizontal="right" vertical="center"/>
      <protection/>
    </xf>
    <xf numFmtId="4" fontId="43" fillId="0" borderId="19" xfId="0" applyNumberFormat="1" applyFont="1" applyFill="1" applyBorder="1" applyAlignment="1" applyProtection="1">
      <alignment horizontal="right" vertical="center"/>
      <protection/>
    </xf>
    <xf numFmtId="4" fontId="44" fillId="0" borderId="19" xfId="0" applyNumberFormat="1" applyFont="1" applyFill="1" applyBorder="1" applyAlignment="1" applyProtection="1">
      <alignment horizontal="right" vertical="center"/>
      <protection/>
    </xf>
    <xf numFmtId="4" fontId="39" fillId="0" borderId="0" xfId="0" applyNumberFormat="1" applyFont="1" applyAlignment="1">
      <alignment/>
    </xf>
    <xf numFmtId="0" fontId="45" fillId="0" borderId="19" xfId="0" applyNumberFormat="1" applyFont="1" applyFill="1" applyBorder="1" applyAlignment="1" applyProtection="1">
      <alignment horizontal="center" vertical="center"/>
      <protection/>
    </xf>
    <xf numFmtId="2" fontId="46" fillId="0" borderId="19" xfId="0" applyNumberFormat="1" applyFont="1" applyFill="1" applyBorder="1" applyAlignment="1" applyProtection="1">
      <alignment vertical="center" wrapText="1"/>
      <protection/>
    </xf>
    <xf numFmtId="4" fontId="47" fillId="0" borderId="19" xfId="0" applyNumberFormat="1" applyFont="1" applyFill="1" applyBorder="1" applyAlignment="1" applyProtection="1">
      <alignment horizontal="right" vertical="center"/>
      <protection/>
    </xf>
    <xf numFmtId="0" fontId="21" fillId="44" borderId="19" xfId="0" applyNumberFormat="1" applyFont="1" applyFill="1" applyBorder="1" applyAlignment="1" applyProtection="1">
      <alignment vertical="center" wrapText="1"/>
      <protection/>
    </xf>
    <xf numFmtId="0" fontId="0" fillId="0" borderId="0" xfId="0" applyNumberFormat="1" applyFont="1" applyFill="1" applyAlignment="1" applyProtection="1">
      <alignment vertical="top"/>
      <protection/>
    </xf>
    <xf numFmtId="0" fontId="0" fillId="0" borderId="0" xfId="0" applyFont="1" applyFill="1" applyAlignment="1">
      <alignment vertical="top"/>
    </xf>
    <xf numFmtId="4" fontId="48" fillId="0" borderId="19" xfId="0" applyNumberFormat="1" applyFont="1" applyFill="1" applyBorder="1" applyAlignment="1">
      <alignment horizontal="right" wrapText="1"/>
    </xf>
    <xf numFmtId="0" fontId="0" fillId="0" borderId="0" xfId="0" applyFont="1" applyFill="1" applyAlignment="1">
      <alignment/>
    </xf>
    <xf numFmtId="4" fontId="49" fillId="0" borderId="19" xfId="0" applyNumberFormat="1" applyFont="1" applyFill="1" applyBorder="1" applyAlignment="1">
      <alignment horizontal="right" wrapText="1"/>
    </xf>
    <xf numFmtId="0" fontId="31" fillId="0" borderId="0" xfId="0" applyNumberFormat="1" applyFont="1" applyFill="1" applyAlignment="1" applyProtection="1">
      <alignment/>
      <protection/>
    </xf>
    <xf numFmtId="0" fontId="0" fillId="0" borderId="0" xfId="0" applyFont="1" applyFill="1" applyAlignment="1">
      <alignment/>
    </xf>
    <xf numFmtId="4" fontId="0" fillId="0" borderId="0" xfId="0" applyNumberFormat="1" applyFont="1" applyFill="1" applyAlignment="1" applyProtection="1">
      <alignment/>
      <protection/>
    </xf>
    <xf numFmtId="0" fontId="50" fillId="0" borderId="0" xfId="0" applyNumberFormat="1" applyFont="1" applyFill="1" applyAlignment="1" applyProtection="1">
      <alignment horizontal="center"/>
      <protection/>
    </xf>
    <xf numFmtId="0" fontId="4" fillId="0" borderId="0" xfId="0" applyNumberFormat="1" applyFont="1" applyFill="1" applyAlignment="1" applyProtection="1">
      <alignment/>
      <protection/>
    </xf>
    <xf numFmtId="49" fontId="30" fillId="0" borderId="19" xfId="0" applyNumberFormat="1" applyFont="1" applyBorder="1" applyAlignment="1">
      <alignment horizontal="center" vertical="center" wrapText="1"/>
    </xf>
    <xf numFmtId="49" fontId="30" fillId="0" borderId="19" xfId="0" applyNumberFormat="1" applyFont="1" applyBorder="1" applyAlignment="1">
      <alignment horizontal="left" vertical="top" wrapText="1"/>
    </xf>
    <xf numFmtId="49" fontId="36" fillId="0" borderId="19" xfId="0" applyNumberFormat="1" applyFont="1" applyBorder="1" applyAlignment="1">
      <alignment horizontal="left" vertical="top" wrapText="1"/>
    </xf>
    <xf numFmtId="49" fontId="33" fillId="0" borderId="19"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19" xfId="0" applyNumberFormat="1" applyFont="1" applyBorder="1" applyAlignment="1">
      <alignment horizontal="left" vertical="top" wrapText="1"/>
    </xf>
    <xf numFmtId="0" fontId="30" fillId="0" borderId="19" xfId="0" applyFont="1" applyBorder="1" applyAlignment="1">
      <alignment horizontal="center" vertical="center" wrapText="1"/>
    </xf>
    <xf numFmtId="0" fontId="30" fillId="0" borderId="19" xfId="0" applyFont="1" applyBorder="1" applyAlignment="1">
      <alignment horizontal="justify" vertical="center" wrapText="1"/>
    </xf>
    <xf numFmtId="0" fontId="30" fillId="0" borderId="20" xfId="0" applyFont="1" applyBorder="1" applyAlignment="1">
      <alignment horizontal="center" vertical="center" wrapText="1"/>
    </xf>
    <xf numFmtId="0" fontId="50" fillId="0" borderId="0" xfId="0" applyNumberFormat="1" applyFont="1" applyFill="1" applyAlignment="1" applyProtection="1">
      <alignment/>
      <protection/>
    </xf>
    <xf numFmtId="0" fontId="29" fillId="0" borderId="0" xfId="0" applyFont="1" applyAlignment="1">
      <alignment/>
    </xf>
    <xf numFmtId="0" fontId="0" fillId="52" borderId="0" xfId="0" applyFont="1" applyFill="1" applyAlignment="1">
      <alignment/>
    </xf>
    <xf numFmtId="0" fontId="28" fillId="0" borderId="0" xfId="0" applyFont="1" applyAlignment="1">
      <alignment/>
    </xf>
    <xf numFmtId="0" fontId="53" fillId="0" borderId="0" xfId="0" applyFont="1" applyAlignment="1">
      <alignment horizontal="center" vertical="center" wrapText="1"/>
    </xf>
    <xf numFmtId="0" fontId="55" fillId="0" borderId="0" xfId="0" applyFont="1" applyBorder="1" applyAlignment="1">
      <alignment horizontal="right" vertical="center" wrapText="1"/>
    </xf>
    <xf numFmtId="0" fontId="56" fillId="0" borderId="0" xfId="0" applyFont="1" applyBorder="1" applyAlignment="1">
      <alignment horizontal="center" vertical="center" wrapText="1"/>
    </xf>
    <xf numFmtId="0" fontId="35" fillId="0" borderId="0" xfId="0" applyNumberFormat="1" applyFont="1" applyFill="1" applyBorder="1" applyAlignment="1" applyProtection="1">
      <alignment horizontal="right" vertical="center"/>
      <protection/>
    </xf>
    <xf numFmtId="0" fontId="57" fillId="0" borderId="19" xfId="0" applyFont="1" applyBorder="1" applyAlignment="1">
      <alignment horizontal="right"/>
    </xf>
    <xf numFmtId="0" fontId="21" fillId="0" borderId="19" xfId="106" applyFont="1" applyBorder="1" applyAlignment="1">
      <alignment horizontal="right"/>
      <protection/>
    </xf>
    <xf numFmtId="0" fontId="21" fillId="0" borderId="21" xfId="106" applyFont="1" applyBorder="1" applyAlignment="1">
      <alignment horizontal="center"/>
      <protection/>
    </xf>
    <xf numFmtId="0" fontId="59" fillId="0" borderId="19" xfId="0" applyFont="1" applyFill="1" applyBorder="1" applyAlignment="1">
      <alignment horizontal="center" vertical="center" wrapText="1"/>
    </xf>
    <xf numFmtId="0" fontId="48" fillId="0" borderId="19" xfId="0" applyFont="1" applyBorder="1" applyAlignment="1">
      <alignment horizontal="right"/>
    </xf>
    <xf numFmtId="0" fontId="30" fillId="0" borderId="19" xfId="106" applyFont="1" applyBorder="1" applyAlignment="1">
      <alignment horizontal="right"/>
      <protection/>
    </xf>
    <xf numFmtId="0" fontId="30" fillId="0" borderId="21" xfId="106" applyFont="1" applyBorder="1" applyAlignment="1">
      <alignment horizontal="center"/>
      <protection/>
    </xf>
    <xf numFmtId="0" fontId="59" fillId="0" borderId="19" xfId="0" applyFont="1" applyBorder="1" applyAlignment="1">
      <alignment wrapText="1"/>
    </xf>
    <xf numFmtId="0" fontId="50" fillId="0" borderId="19" xfId="0" applyFont="1" applyBorder="1" applyAlignment="1">
      <alignment wrapText="1"/>
    </xf>
    <xf numFmtId="4" fontId="59" fillId="52" borderId="19" xfId="0" applyNumberFormat="1" applyFont="1" applyFill="1" applyBorder="1" applyAlignment="1">
      <alignment horizontal="center" wrapText="1"/>
    </xf>
    <xf numFmtId="4" fontId="59" fillId="0" borderId="19" xfId="0" applyNumberFormat="1" applyFont="1" applyFill="1" applyBorder="1" applyAlignment="1">
      <alignment horizontal="center" wrapText="1"/>
    </xf>
    <xf numFmtId="0" fontId="51" fillId="0" borderId="19" xfId="0" applyFont="1" applyBorder="1" applyAlignment="1">
      <alignment horizontal="right"/>
    </xf>
    <xf numFmtId="0" fontId="30" fillId="0" borderId="19" xfId="106" applyFont="1" applyBorder="1" applyAlignment="1">
      <alignment horizontal="right" wrapText="1"/>
      <protection/>
    </xf>
    <xf numFmtId="0" fontId="31" fillId="0" borderId="19" xfId="0" applyFont="1" applyBorder="1" applyAlignment="1">
      <alignment vertical="center" wrapText="1"/>
    </xf>
    <xf numFmtId="0" fontId="50" fillId="49" borderId="19" xfId="0" applyFont="1" applyFill="1" applyBorder="1" applyAlignment="1">
      <alignment vertical="center" wrapText="1"/>
    </xf>
    <xf numFmtId="4" fontId="50" fillId="49" borderId="19" xfId="0" applyNumberFormat="1" applyFont="1" applyFill="1" applyBorder="1" applyAlignment="1">
      <alignment horizontal="center" vertical="center" wrapText="1"/>
    </xf>
    <xf numFmtId="0" fontId="4" fillId="0" borderId="19" xfId="0" applyFont="1" applyBorder="1" applyAlignment="1">
      <alignment horizontal="right"/>
    </xf>
    <xf numFmtId="0" fontId="0" fillId="0" borderId="19" xfId="0" applyFont="1" applyBorder="1" applyAlignment="1">
      <alignment/>
    </xf>
    <xf numFmtId="0" fontId="0" fillId="0" borderId="0" xfId="0" applyFont="1" applyAlignment="1">
      <alignment/>
    </xf>
    <xf numFmtId="0" fontId="28" fillId="0" borderId="0" xfId="0" applyFont="1" applyBorder="1" applyAlignment="1">
      <alignment horizontal="right"/>
    </xf>
    <xf numFmtId="0" fontId="0" fillId="0" borderId="0" xfId="0" applyFont="1" applyBorder="1" applyAlignment="1">
      <alignment/>
    </xf>
    <xf numFmtId="2" fontId="60" fillId="0" borderId="0" xfId="0" applyNumberFormat="1" applyFont="1" applyBorder="1" applyAlignment="1">
      <alignment horizontal="right"/>
    </xf>
    <xf numFmtId="2" fontId="50" fillId="0" borderId="0" xfId="0" applyNumberFormat="1" applyFont="1" applyBorder="1" applyAlignment="1">
      <alignment/>
    </xf>
    <xf numFmtId="0" fontId="50" fillId="0" borderId="0" xfId="0" applyFont="1" applyAlignment="1">
      <alignment/>
    </xf>
    <xf numFmtId="0" fontId="50" fillId="52" borderId="0" xfId="0" applyFont="1" applyFill="1" applyAlignment="1">
      <alignment/>
    </xf>
    <xf numFmtId="2" fontId="50" fillId="0" borderId="0" xfId="0" applyNumberFormat="1" applyFont="1" applyAlignment="1">
      <alignment/>
    </xf>
    <xf numFmtId="2" fontId="28" fillId="0" borderId="0" xfId="0" applyNumberFormat="1" applyFont="1" applyBorder="1" applyAlignment="1">
      <alignment horizontal="right"/>
    </xf>
    <xf numFmtId="2" fontId="0" fillId="0" borderId="0" xfId="0" applyNumberFormat="1" applyFont="1" applyBorder="1" applyAlignment="1">
      <alignment/>
    </xf>
    <xf numFmtId="2" fontId="0" fillId="0" borderId="0" xfId="0" applyNumberFormat="1" applyFont="1" applyAlignment="1">
      <alignment/>
    </xf>
    <xf numFmtId="0" fontId="61" fillId="0" borderId="22" xfId="0" applyFont="1" applyBorder="1" applyAlignment="1">
      <alignment horizontal="center"/>
    </xf>
    <xf numFmtId="0" fontId="29" fillId="0" borderId="0" xfId="0" applyNumberFormat="1" applyFont="1" applyFill="1" applyAlignment="1" applyProtection="1">
      <alignment/>
      <protection/>
    </xf>
    <xf numFmtId="0" fontId="29" fillId="0" borderId="0" xfId="0" applyNumberFormat="1" applyFont="1" applyFill="1" applyAlignment="1" applyProtection="1">
      <alignment horizontal="left" vertical="top"/>
      <protection/>
    </xf>
    <xf numFmtId="0" fontId="29" fillId="0" borderId="0" xfId="0" applyFont="1" applyFill="1" applyAlignment="1">
      <alignment/>
    </xf>
    <xf numFmtId="0" fontId="59" fillId="0" borderId="0" xfId="0" applyFont="1" applyFill="1" applyAlignment="1">
      <alignment/>
    </xf>
    <xf numFmtId="0" fontId="0" fillId="0" borderId="0" xfId="0" applyNumberFormat="1" applyFont="1" applyFill="1" applyBorder="1" applyAlignment="1" applyProtection="1">
      <alignment/>
      <protection/>
    </xf>
    <xf numFmtId="0" fontId="29" fillId="0" borderId="0" xfId="0" applyFont="1" applyFill="1" applyAlignment="1">
      <alignment vertical="center"/>
    </xf>
    <xf numFmtId="0" fontId="0" fillId="0" borderId="0" xfId="0" applyFont="1" applyFill="1" applyAlignment="1">
      <alignment vertical="center"/>
    </xf>
    <xf numFmtId="4" fontId="21" fillId="0" borderId="19" xfId="189" applyNumberFormat="1" applyFont="1" applyFill="1" applyBorder="1" applyAlignment="1">
      <alignment horizontal="center" vertical="center"/>
      <protection/>
    </xf>
    <xf numFmtId="4" fontId="29" fillId="0" borderId="19" xfId="189" applyNumberFormat="1" applyFont="1" applyFill="1" applyBorder="1" applyAlignment="1">
      <alignment horizontal="center" vertical="center"/>
      <protection/>
    </xf>
    <xf numFmtId="0" fontId="30" fillId="0" borderId="19" xfId="0" applyFont="1" applyFill="1" applyBorder="1" applyAlignment="1">
      <alignment horizontal="center" vertical="center" wrapText="1"/>
    </xf>
    <xf numFmtId="0" fontId="36" fillId="0" borderId="19" xfId="0" applyFont="1" applyBorder="1" applyAlignment="1">
      <alignment horizontal="center" vertical="center" wrapText="1"/>
    </xf>
    <xf numFmtId="0" fontId="50" fillId="0" borderId="18" xfId="0" applyNumberFormat="1" applyFont="1" applyFill="1" applyBorder="1" applyAlignment="1" applyProtection="1">
      <alignment horizontal="center"/>
      <protection/>
    </xf>
    <xf numFmtId="0" fontId="0" fillId="0" borderId="18" xfId="0" applyFont="1" applyFill="1" applyBorder="1" applyAlignment="1">
      <alignment horizontal="center"/>
    </xf>
    <xf numFmtId="0" fontId="4" fillId="0" borderId="23"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49" fontId="4" fillId="53" borderId="19" xfId="0" applyNumberFormat="1" applyFont="1" applyFill="1" applyBorder="1" applyAlignment="1" applyProtection="1">
      <alignment horizontal="center" vertical="center" wrapText="1"/>
      <protection/>
    </xf>
    <xf numFmtId="0" fontId="30" fillId="45" borderId="19" xfId="0" applyFont="1" applyFill="1" applyBorder="1" applyAlignment="1">
      <alignment horizontal="left" vertical="center" wrapText="1"/>
    </xf>
    <xf numFmtId="4" fontId="30" fillId="45" borderId="19" xfId="189" applyNumberFormat="1" applyFont="1" applyFill="1" applyBorder="1" applyAlignment="1">
      <alignment horizontal="center" vertical="center"/>
      <protection/>
    </xf>
    <xf numFmtId="49" fontId="36" fillId="0" borderId="19" xfId="0" applyNumberFormat="1" applyFont="1" applyBorder="1" applyAlignment="1">
      <alignment horizontal="center" vertical="center" wrapText="1"/>
    </xf>
    <xf numFmtId="4" fontId="36" fillId="0" borderId="19" xfId="189" applyNumberFormat="1" applyFont="1" applyFill="1" applyBorder="1" applyAlignment="1">
      <alignment horizontal="center" vertical="center"/>
      <protection/>
    </xf>
    <xf numFmtId="4" fontId="30" fillId="0" borderId="19" xfId="189" applyNumberFormat="1" applyFont="1" applyBorder="1" applyAlignment="1">
      <alignment horizontal="center" vertical="center"/>
      <protection/>
    </xf>
    <xf numFmtId="4" fontId="36" fillId="0" borderId="19" xfId="189" applyNumberFormat="1" applyFont="1" applyBorder="1" applyAlignment="1">
      <alignment horizontal="center" vertical="center"/>
      <protection/>
    </xf>
    <xf numFmtId="49" fontId="30" fillId="0" borderId="20" xfId="0" applyNumberFormat="1" applyFont="1" applyBorder="1" applyAlignment="1">
      <alignment horizontal="center" vertical="center" wrapText="1"/>
    </xf>
    <xf numFmtId="0" fontId="30" fillId="45" borderId="19" xfId="0" applyFont="1" applyFill="1" applyBorder="1" applyAlignment="1">
      <alignment horizontal="justify" vertical="center" wrapText="1"/>
    </xf>
    <xf numFmtId="4" fontId="30" fillId="0" borderId="19" xfId="189" applyNumberFormat="1" applyFont="1" applyFill="1" applyBorder="1" applyAlignment="1">
      <alignment horizontal="center" vertical="center"/>
      <protection/>
    </xf>
    <xf numFmtId="4" fontId="36" fillId="0" borderId="19" xfId="189" applyNumberFormat="1" applyFont="1" applyBorder="1" applyAlignment="1">
      <alignment horizontal="center" vertical="center" wrapText="1"/>
      <protection/>
    </xf>
    <xf numFmtId="0" fontId="36" fillId="0" borderId="19" xfId="0" applyFont="1" applyFill="1" applyBorder="1" applyAlignment="1">
      <alignment horizontal="center" vertical="center" wrapText="1"/>
    </xf>
    <xf numFmtId="49" fontId="36" fillId="0" borderId="19" xfId="0" applyNumberFormat="1" applyFont="1" applyFill="1" applyBorder="1" applyAlignment="1">
      <alignment horizontal="left" vertical="top" wrapText="1"/>
    </xf>
    <xf numFmtId="4" fontId="36" fillId="0" borderId="19" xfId="189" applyNumberFormat="1" applyFont="1" applyFill="1" applyBorder="1" applyAlignment="1">
      <alignment horizontal="center" vertical="center" wrapText="1"/>
      <protection/>
    </xf>
    <xf numFmtId="0" fontId="33" fillId="0" borderId="19" xfId="0" applyFont="1" applyBorder="1" applyAlignment="1">
      <alignment horizontal="center" vertical="center" wrapText="1"/>
    </xf>
    <xf numFmtId="0" fontId="45"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3" xfId="0" applyFont="1" applyBorder="1" applyAlignment="1">
      <alignment horizontal="center" vertical="center" wrapText="1"/>
    </xf>
    <xf numFmtId="4" fontId="36" fillId="0" borderId="19" xfId="0" applyNumberFormat="1" applyFont="1" applyFill="1" applyBorder="1" applyAlignment="1" applyProtection="1">
      <alignment horizontal="center" vertical="center"/>
      <protection/>
    </xf>
    <xf numFmtId="4" fontId="30" fillId="0" borderId="19" xfId="0" applyNumberFormat="1" applyFont="1" applyFill="1" applyBorder="1" applyAlignment="1" applyProtection="1">
      <alignment horizontal="center" vertical="center"/>
      <protection/>
    </xf>
    <xf numFmtId="4" fontId="30" fillId="45" borderId="19" xfId="0" applyNumberFormat="1" applyFont="1" applyFill="1" applyBorder="1" applyAlignment="1">
      <alignment horizontal="center" vertical="center"/>
    </xf>
    <xf numFmtId="4" fontId="36" fillId="0" borderId="19" xfId="0" applyNumberFormat="1" applyFont="1" applyBorder="1" applyAlignment="1">
      <alignment horizontal="center" vertical="center" wrapText="1"/>
    </xf>
    <xf numFmtId="4" fontId="36" fillId="0" borderId="19" xfId="0" applyNumberFormat="1" applyFont="1" applyFill="1" applyBorder="1" applyAlignment="1">
      <alignment horizontal="center" vertical="center" wrapText="1"/>
    </xf>
    <xf numFmtId="4" fontId="30" fillId="0" borderId="19" xfId="0" applyNumberFormat="1" applyFont="1" applyBorder="1" applyAlignment="1">
      <alignment horizontal="center" vertical="center" wrapText="1"/>
    </xf>
    <xf numFmtId="4" fontId="36" fillId="0" borderId="19" xfId="0" applyNumberFormat="1" applyFont="1" applyFill="1" applyBorder="1" applyAlignment="1">
      <alignment horizontal="center" vertical="center"/>
    </xf>
    <xf numFmtId="4" fontId="30" fillId="0" borderId="19" xfId="0" applyNumberFormat="1" applyFont="1" applyFill="1" applyBorder="1" applyAlignment="1">
      <alignment horizontal="center" vertical="center"/>
    </xf>
    <xf numFmtId="4" fontId="36" fillId="0" borderId="19" xfId="0" applyNumberFormat="1" applyFont="1" applyBorder="1" applyAlignment="1">
      <alignment horizontal="center" vertical="center"/>
    </xf>
    <xf numFmtId="4" fontId="30" fillId="0" borderId="19" xfId="0" applyNumberFormat="1" applyFont="1" applyBorder="1" applyAlignment="1">
      <alignment horizontal="center" vertical="center"/>
    </xf>
    <xf numFmtId="49" fontId="36" fillId="53" borderId="19" xfId="0" applyNumberFormat="1" applyFont="1" applyFill="1" applyBorder="1" applyAlignment="1">
      <alignment horizontal="center" vertical="center" wrapText="1"/>
    </xf>
    <xf numFmtId="0" fontId="36" fillId="0" borderId="19" xfId="0" applyFont="1" applyBorder="1" applyAlignment="1">
      <alignment vertical="center" wrapText="1"/>
    </xf>
    <xf numFmtId="49" fontId="36" fillId="0" borderId="19" xfId="0" applyNumberFormat="1" applyFont="1" applyFill="1" applyBorder="1" applyAlignment="1">
      <alignment horizontal="center" vertical="center" wrapText="1"/>
    </xf>
    <xf numFmtId="49" fontId="36" fillId="53" borderId="20" xfId="0" applyNumberFormat="1" applyFont="1" applyFill="1" applyBorder="1" applyAlignment="1">
      <alignment horizontal="center" vertical="center" wrapText="1"/>
    </xf>
    <xf numFmtId="49" fontId="36" fillId="0" borderId="20" xfId="0" applyNumberFormat="1" applyFont="1" applyFill="1" applyBorder="1" applyAlignment="1">
      <alignment horizontal="center" vertical="center" wrapText="1"/>
    </xf>
    <xf numFmtId="0" fontId="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center"/>
      <protection/>
    </xf>
    <xf numFmtId="0" fontId="4" fillId="0" borderId="18" xfId="0" applyFont="1" applyFill="1" applyBorder="1" applyAlignment="1">
      <alignment horizontal="center"/>
    </xf>
    <xf numFmtId="0" fontId="50" fillId="0" borderId="18" xfId="0" applyNumberFormat="1" applyFont="1" applyFill="1" applyBorder="1" applyAlignment="1" applyProtection="1">
      <alignment horizontal="center" vertical="top"/>
      <protection/>
    </xf>
    <xf numFmtId="0" fontId="0" fillId="0" borderId="0" xfId="0" applyFont="1" applyFill="1" applyAlignment="1">
      <alignment horizontal="center"/>
    </xf>
    <xf numFmtId="0" fontId="63" fillId="0" borderId="18" xfId="0" applyNumberFormat="1" applyFont="1" applyFill="1" applyBorder="1" applyAlignment="1" applyProtection="1">
      <alignment horizontal="right" vertical="center"/>
      <protection/>
    </xf>
    <xf numFmtId="49" fontId="30" fillId="4" borderId="19" xfId="0" applyNumberFormat="1" applyFont="1" applyFill="1" applyBorder="1" applyAlignment="1">
      <alignment horizontal="center" vertical="center" wrapText="1"/>
    </xf>
    <xf numFmtId="0" fontId="30" fillId="4" borderId="19" xfId="0" applyFont="1" applyFill="1" applyBorder="1" applyAlignment="1">
      <alignment horizontal="justify" vertical="top" wrapText="1" shrinkToFit="1"/>
    </xf>
    <xf numFmtId="4" fontId="21" fillId="4" borderId="19" xfId="189" applyNumberFormat="1" applyFont="1" applyFill="1" applyBorder="1" applyAlignment="1">
      <alignment horizontal="center" vertical="center"/>
      <protection/>
    </xf>
    <xf numFmtId="49" fontId="36" fillId="0" borderId="19" xfId="0" applyNumberFormat="1" applyFont="1" applyBorder="1" applyAlignment="1">
      <alignment horizontal="justify" vertical="top" wrapText="1"/>
    </xf>
    <xf numFmtId="4" fontId="29" fillId="0" borderId="19" xfId="189" applyNumberFormat="1" applyFont="1" applyBorder="1" applyAlignment="1">
      <alignment horizontal="center" vertical="center"/>
      <protection/>
    </xf>
    <xf numFmtId="4" fontId="21" fillId="0" borderId="19" xfId="189" applyNumberFormat="1" applyFont="1" applyBorder="1" applyAlignment="1">
      <alignment horizontal="center" vertical="center"/>
      <protection/>
    </xf>
    <xf numFmtId="49" fontId="45" fillId="0" borderId="19" xfId="0" applyNumberFormat="1" applyFont="1" applyFill="1" applyBorder="1" applyAlignment="1">
      <alignment horizontal="justify" vertical="top" wrapText="1"/>
    </xf>
    <xf numFmtId="4" fontId="46" fillId="0" borderId="19" xfId="189" applyNumberFormat="1" applyFont="1" applyBorder="1" applyAlignment="1">
      <alignment horizontal="center" vertical="center"/>
      <protection/>
    </xf>
    <xf numFmtId="4" fontId="66" fillId="0" borderId="19" xfId="189" applyNumberFormat="1" applyFont="1" applyBorder="1" applyAlignment="1">
      <alignment horizontal="center" vertical="center"/>
      <protection/>
    </xf>
    <xf numFmtId="0" fontId="65" fillId="0" borderId="0" xfId="0" applyFont="1" applyFill="1" applyAlignment="1">
      <alignment/>
    </xf>
    <xf numFmtId="49" fontId="45" fillId="0" borderId="19" xfId="0" applyNumberFormat="1" applyFont="1" applyBorder="1" applyAlignment="1">
      <alignment horizontal="justify" vertical="top" wrapText="1"/>
    </xf>
    <xf numFmtId="4" fontId="66" fillId="4" borderId="19" xfId="189" applyNumberFormat="1" applyFont="1" applyFill="1" applyBorder="1" applyAlignment="1">
      <alignment horizontal="center" vertical="center"/>
      <protection/>
    </xf>
    <xf numFmtId="49" fontId="45" fillId="0" borderId="19" xfId="244" applyNumberFormat="1" applyFont="1" applyFill="1" applyBorder="1" applyAlignment="1" applyProtection="1">
      <alignment horizontal="justify" vertical="top" wrapText="1"/>
      <protection/>
    </xf>
    <xf numFmtId="49" fontId="36" fillId="4" borderId="19" xfId="0" applyNumberFormat="1" applyFont="1" applyFill="1" applyBorder="1" applyAlignment="1">
      <alignment horizontal="center" vertical="center" wrapText="1"/>
    </xf>
    <xf numFmtId="49" fontId="30" fillId="4" borderId="19" xfId="0" applyNumberFormat="1" applyFont="1" applyFill="1" applyBorder="1" applyAlignment="1">
      <alignment horizontal="justify" vertical="top" wrapText="1"/>
    </xf>
    <xf numFmtId="2" fontId="36" fillId="4" borderId="19" xfId="0" applyNumberFormat="1" applyFont="1" applyFill="1" applyBorder="1" applyAlignment="1">
      <alignment horizontal="center" vertical="center" wrapText="1"/>
    </xf>
    <xf numFmtId="49" fontId="30" fillId="0" borderId="19" xfId="0" applyNumberFormat="1" applyFont="1" applyBorder="1" applyAlignment="1">
      <alignment horizontal="justify" vertical="top" wrapText="1"/>
    </xf>
    <xf numFmtId="4" fontId="46" fillId="0" borderId="19" xfId="189" applyNumberFormat="1" applyFont="1" applyFill="1" applyBorder="1" applyAlignment="1">
      <alignment horizontal="center" vertical="center"/>
      <protection/>
    </xf>
    <xf numFmtId="49" fontId="36" fillId="0" borderId="19" xfId="0" applyNumberFormat="1" applyFont="1" applyBorder="1" applyAlignment="1">
      <alignment horizontal="left" vertical="center" wrapText="1"/>
    </xf>
    <xf numFmtId="49" fontId="36" fillId="52" borderId="19" xfId="0" applyNumberFormat="1" applyFont="1" applyFill="1" applyBorder="1" applyAlignment="1">
      <alignment horizontal="justify" vertical="top" wrapText="1"/>
    </xf>
    <xf numFmtId="49" fontId="36" fillId="52" borderId="19" xfId="0" applyNumberFormat="1" applyFont="1" applyFill="1" applyBorder="1" applyAlignment="1">
      <alignment horizontal="center" vertical="center" wrapText="1"/>
    </xf>
    <xf numFmtId="4" fontId="29" fillId="52" borderId="19" xfId="189" applyNumberFormat="1" applyFont="1" applyFill="1" applyBorder="1" applyAlignment="1">
      <alignment horizontal="center" vertical="center"/>
      <protection/>
    </xf>
    <xf numFmtId="4" fontId="46" fillId="52" borderId="19" xfId="189" applyNumberFormat="1" applyFont="1" applyFill="1" applyBorder="1" applyAlignment="1">
      <alignment horizontal="center" vertical="center"/>
      <protection/>
    </xf>
    <xf numFmtId="49" fontId="36" fillId="0" borderId="19" xfId="0" applyNumberFormat="1" applyFont="1" applyFill="1" applyBorder="1" applyAlignment="1">
      <alignment horizontal="justify" vertical="top" wrapText="1"/>
    </xf>
    <xf numFmtId="4" fontId="29" fillId="4" borderId="19" xfId="189" applyNumberFormat="1" applyFont="1" applyFill="1" applyBorder="1" applyAlignment="1">
      <alignment horizontal="center" vertical="center"/>
      <protection/>
    </xf>
    <xf numFmtId="4" fontId="46" fillId="4" borderId="19" xfId="189" applyNumberFormat="1" applyFont="1" applyFill="1" applyBorder="1" applyAlignment="1">
      <alignment horizontal="center" vertical="center"/>
      <protection/>
    </xf>
    <xf numFmtId="0" fontId="4" fillId="0" borderId="0" xfId="0" applyFont="1" applyFill="1" applyAlignment="1">
      <alignment/>
    </xf>
    <xf numFmtId="49" fontId="30" fillId="0" borderId="19" xfId="0" applyNumberFormat="1" applyFont="1" applyFill="1" applyBorder="1" applyAlignment="1">
      <alignment horizontal="center" vertical="center" wrapText="1"/>
    </xf>
    <xf numFmtId="49" fontId="45" fillId="0" borderId="19" xfId="0" applyNumberFormat="1" applyFont="1" applyFill="1" applyBorder="1" applyAlignment="1">
      <alignment horizontal="center" vertical="center" wrapText="1"/>
    </xf>
    <xf numFmtId="49" fontId="45" fillId="0" borderId="19" xfId="0" applyNumberFormat="1" applyFont="1" applyFill="1" applyBorder="1" applyAlignment="1">
      <alignment horizontal="left" vertical="center" wrapText="1"/>
    </xf>
    <xf numFmtId="0" fontId="30" fillId="4" borderId="19" xfId="0" applyFont="1" applyFill="1" applyBorder="1" applyAlignment="1">
      <alignment horizontal="center" vertical="center" wrapText="1"/>
    </xf>
    <xf numFmtId="4" fontId="21" fillId="4" borderId="19" xfId="0" applyNumberFormat="1" applyFont="1" applyFill="1" applyBorder="1" applyAlignment="1">
      <alignment horizontal="center" vertical="center" wrapText="1"/>
    </xf>
    <xf numFmtId="0" fontId="45" fillId="0" borderId="20" xfId="0" applyFont="1" applyBorder="1" applyAlignment="1">
      <alignment horizontal="center" vertical="center" wrapText="1"/>
    </xf>
    <xf numFmtId="49" fontId="45" fillId="0" borderId="20" xfId="0" applyNumberFormat="1" applyFont="1" applyBorder="1" applyAlignment="1">
      <alignment horizontal="center" vertical="center" wrapText="1"/>
    </xf>
    <xf numFmtId="49" fontId="30" fillId="0" borderId="20" xfId="0" applyNumberFormat="1" applyFont="1" applyBorder="1" applyAlignment="1">
      <alignment horizontal="left" vertical="center" wrapText="1"/>
    </xf>
    <xf numFmtId="49" fontId="36" fillId="0" borderId="20" xfId="244" applyNumberFormat="1" applyFont="1" applyFill="1" applyBorder="1" applyAlignment="1" applyProtection="1">
      <alignment horizontal="center" vertical="center" wrapText="1"/>
      <protection/>
    </xf>
    <xf numFmtId="49" fontId="36" fillId="0" borderId="20" xfId="244" applyNumberFormat="1" applyFont="1" applyFill="1" applyBorder="1" applyAlignment="1" applyProtection="1">
      <alignment horizontal="left" vertical="top" wrapText="1"/>
      <protection/>
    </xf>
    <xf numFmtId="49" fontId="45" fillId="0" borderId="19" xfId="244" applyNumberFormat="1" applyFont="1" applyFill="1" applyBorder="1" applyAlignment="1" applyProtection="1">
      <alignment horizontal="center" vertical="center" wrapText="1"/>
      <protection/>
    </xf>
    <xf numFmtId="0" fontId="45" fillId="0" borderId="19" xfId="244" applyNumberFormat="1" applyFont="1" applyFill="1" applyBorder="1" applyAlignment="1" applyProtection="1">
      <alignment horizontal="justify" vertical="top" wrapText="1"/>
      <protection/>
    </xf>
    <xf numFmtId="49" fontId="36" fillId="0" borderId="19" xfId="244" applyNumberFormat="1" applyFont="1" applyFill="1" applyBorder="1" applyAlignment="1" applyProtection="1">
      <alignment horizontal="center" vertical="center" wrapText="1"/>
      <protection/>
    </xf>
    <xf numFmtId="49" fontId="36" fillId="0" borderId="19" xfId="244" applyNumberFormat="1" applyFont="1" applyFill="1" applyBorder="1" applyAlignment="1" applyProtection="1">
      <alignment horizontal="justify" vertical="top" wrapText="1"/>
      <protection/>
    </xf>
    <xf numFmtId="49" fontId="36" fillId="0" borderId="19" xfId="244" applyNumberFormat="1" applyFont="1" applyFill="1" applyBorder="1" applyAlignment="1" applyProtection="1">
      <alignment horizontal="left" vertical="top" wrapText="1"/>
      <protection/>
    </xf>
    <xf numFmtId="0" fontId="29" fillId="0" borderId="19" xfId="0" applyFont="1" applyBorder="1" applyAlignment="1">
      <alignment horizontal="center" vertical="center" wrapText="1"/>
    </xf>
    <xf numFmtId="49" fontId="36" fillId="0" borderId="23" xfId="244" applyNumberFormat="1" applyFont="1" applyFill="1" applyBorder="1" applyAlignment="1" applyProtection="1">
      <alignment horizontal="center" vertical="center" wrapText="1"/>
      <protection/>
    </xf>
    <xf numFmtId="49" fontId="45" fillId="0" borderId="23" xfId="244" applyNumberFormat="1" applyFont="1" applyFill="1" applyBorder="1" applyAlignment="1" applyProtection="1">
      <alignment horizontal="left" vertical="top" wrapText="1"/>
      <protection/>
    </xf>
    <xf numFmtId="49" fontId="45" fillId="0" borderId="19" xfId="244" applyNumberFormat="1" applyFont="1" applyFill="1" applyBorder="1" applyAlignment="1" applyProtection="1">
      <alignment horizontal="left" vertical="top" wrapText="1"/>
      <protection/>
    </xf>
    <xf numFmtId="0" fontId="65" fillId="0" borderId="19" xfId="0" applyNumberFormat="1" applyFont="1" applyFill="1" applyBorder="1" applyAlignment="1" applyProtection="1">
      <alignment/>
      <protection/>
    </xf>
    <xf numFmtId="49" fontId="45" fillId="0" borderId="21" xfId="244"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protection/>
    </xf>
    <xf numFmtId="0" fontId="65" fillId="0" borderId="19" xfId="0" applyFont="1" applyFill="1" applyBorder="1" applyAlignment="1">
      <alignment/>
    </xf>
    <xf numFmtId="0" fontId="36" fillId="0" borderId="19" xfId="0" applyFont="1" applyFill="1" applyBorder="1" applyAlignment="1">
      <alignment horizontal="center" vertical="center"/>
    </xf>
    <xf numFmtId="49" fontId="30" fillId="4" borderId="19" xfId="0" applyNumberFormat="1" applyFont="1" applyFill="1" applyBorder="1" applyAlignment="1">
      <alignment horizontal="left" vertical="top" wrapText="1"/>
    </xf>
    <xf numFmtId="49" fontId="29" fillId="4" borderId="19" xfId="0" applyNumberFormat="1" applyFont="1" applyFill="1" applyBorder="1" applyAlignment="1">
      <alignment horizontal="center" vertical="center" wrapText="1"/>
    </xf>
    <xf numFmtId="0" fontId="21" fillId="4" borderId="19" xfId="0" applyFont="1" applyFill="1" applyBorder="1" applyAlignment="1">
      <alignment horizontal="justify" vertical="top" wrapText="1" shrinkToFit="1"/>
    </xf>
    <xf numFmtId="4" fontId="21" fillId="4" borderId="19" xfId="0" applyNumberFormat="1" applyFont="1" applyFill="1" applyBorder="1" applyAlignment="1">
      <alignment horizontal="center" vertical="center"/>
    </xf>
    <xf numFmtId="0" fontId="59" fillId="0" borderId="0" xfId="0" applyNumberFormat="1" applyFont="1" applyFill="1" applyAlignment="1" applyProtection="1">
      <alignment/>
      <protection/>
    </xf>
    <xf numFmtId="4" fontId="50" fillId="0" borderId="0" xfId="0" applyNumberFormat="1" applyFont="1" applyFill="1" applyAlignment="1" applyProtection="1">
      <alignment/>
      <protection/>
    </xf>
    <xf numFmtId="0" fontId="67" fillId="0" borderId="0" xfId="0" applyNumberFormat="1" applyFont="1" applyFill="1" applyAlignment="1" applyProtection="1">
      <alignment/>
      <protection/>
    </xf>
    <xf numFmtId="0" fontId="0" fillId="52" borderId="0" xfId="0" applyNumberFormat="1" applyFont="1" applyFill="1" applyAlignment="1" applyProtection="1">
      <alignment/>
      <protection/>
    </xf>
    <xf numFmtId="0" fontId="4" fillId="52" borderId="0" xfId="0" applyNumberFormat="1" applyFont="1" applyFill="1" applyAlignment="1" applyProtection="1">
      <alignment/>
      <protection/>
    </xf>
    <xf numFmtId="0" fontId="0" fillId="52" borderId="0" xfId="0" applyFont="1" applyFill="1" applyAlignment="1">
      <alignment/>
    </xf>
    <xf numFmtId="0" fontId="30" fillId="52" borderId="19" xfId="0" applyFont="1" applyFill="1" applyBorder="1" applyAlignment="1">
      <alignment horizontal="center" vertical="center" wrapText="1"/>
    </xf>
    <xf numFmtId="49" fontId="36" fillId="52" borderId="19" xfId="0" applyNumberFormat="1" applyFont="1" applyFill="1" applyBorder="1" applyAlignment="1">
      <alignment horizontal="left" vertical="top" wrapText="1"/>
    </xf>
    <xf numFmtId="193" fontId="30" fillId="52" borderId="20" xfId="189" applyNumberFormat="1" applyFont="1" applyFill="1" applyBorder="1" applyAlignment="1">
      <alignment vertical="top" wrapText="1"/>
      <protection/>
    </xf>
    <xf numFmtId="49" fontId="36" fillId="52" borderId="19" xfId="0" applyNumberFormat="1" applyFont="1" applyFill="1" applyBorder="1" applyAlignment="1">
      <alignment horizontal="left" vertical="center" wrapText="1"/>
    </xf>
    <xf numFmtId="49" fontId="45" fillId="52" borderId="19" xfId="0" applyNumberFormat="1" applyFont="1" applyFill="1" applyBorder="1" applyAlignment="1">
      <alignment horizontal="center" vertical="center" wrapText="1"/>
    </xf>
    <xf numFmtId="49" fontId="45" fillId="0" borderId="19" xfId="0" applyNumberFormat="1" applyFont="1" applyFill="1" applyBorder="1" applyAlignment="1">
      <alignment horizontal="left" vertical="top" wrapText="1"/>
    </xf>
    <xf numFmtId="49" fontId="30" fillId="52" borderId="19" xfId="0" applyNumberFormat="1" applyFont="1" applyFill="1" applyBorder="1" applyAlignment="1">
      <alignment horizontal="left" vertical="top" wrapText="1"/>
    </xf>
    <xf numFmtId="49" fontId="30" fillId="0" borderId="19" xfId="0" applyNumberFormat="1" applyFont="1" applyBorder="1" applyAlignment="1">
      <alignment horizontal="left" vertical="center" wrapText="1"/>
    </xf>
    <xf numFmtId="0" fontId="0" fillId="0" borderId="0" xfId="0" applyFont="1" applyFill="1" applyAlignment="1">
      <alignment/>
    </xf>
    <xf numFmtId="0" fontId="50" fillId="0" borderId="0" xfId="0" applyFont="1" applyAlignment="1">
      <alignment/>
    </xf>
    <xf numFmtId="49" fontId="36" fillId="0" borderId="20" xfId="0" applyNumberFormat="1" applyFont="1" applyBorder="1" applyAlignment="1">
      <alignment horizontal="left" vertical="top" wrapText="1"/>
    </xf>
    <xf numFmtId="49" fontId="36" fillId="0" borderId="19" xfId="0" applyNumberFormat="1" applyFont="1" applyFill="1" applyBorder="1" applyAlignment="1">
      <alignment horizontal="left" vertical="center" wrapText="1"/>
    </xf>
    <xf numFmtId="0" fontId="36" fillId="0" borderId="19" xfId="0" applyNumberFormat="1" applyFont="1" applyFill="1" applyBorder="1" applyAlignment="1" applyProtection="1">
      <alignment horizontal="left" vertical="top" wrapText="1"/>
      <protection/>
    </xf>
    <xf numFmtId="49" fontId="36" fillId="0" borderId="23" xfId="0" applyNumberFormat="1" applyFont="1" applyBorder="1" applyAlignment="1">
      <alignment horizontal="center" vertical="center" wrapText="1"/>
    </xf>
    <xf numFmtId="49" fontId="36" fillId="0" borderId="19" xfId="244" applyNumberFormat="1" applyFont="1" applyFill="1" applyBorder="1" applyAlignment="1" applyProtection="1">
      <alignment horizontal="left" vertical="center" wrapText="1"/>
      <protection/>
    </xf>
    <xf numFmtId="0" fontId="0" fillId="0" borderId="0" xfId="0" applyFont="1" applyAlignment="1">
      <alignment/>
    </xf>
    <xf numFmtId="0" fontId="0" fillId="52" borderId="0" xfId="0" applyFont="1" applyFill="1" applyBorder="1" applyAlignment="1">
      <alignment/>
    </xf>
    <xf numFmtId="4" fontId="30" fillId="45" borderId="19" xfId="0" applyNumberFormat="1" applyFont="1" applyFill="1" applyBorder="1" applyAlignment="1" applyProtection="1">
      <alignment horizontal="center" vertical="center"/>
      <protection/>
    </xf>
    <xf numFmtId="4" fontId="4" fillId="52" borderId="0" xfId="0" applyNumberFormat="1" applyFont="1" applyFill="1" applyAlignment="1" applyProtection="1">
      <alignment/>
      <protection/>
    </xf>
    <xf numFmtId="4" fontId="49" fillId="0" borderId="19" xfId="0" applyNumberFormat="1" applyFont="1" applyFill="1" applyBorder="1" applyAlignment="1">
      <alignment horizontal="right" wrapText="1"/>
    </xf>
    <xf numFmtId="0" fontId="29" fillId="4" borderId="19" xfId="0" applyFont="1" applyFill="1" applyBorder="1" applyAlignment="1">
      <alignment horizontal="center" vertical="center" wrapText="1"/>
    </xf>
    <xf numFmtId="4" fontId="0" fillId="0" borderId="0" xfId="0" applyNumberFormat="1" applyFont="1" applyFill="1" applyAlignment="1">
      <alignment/>
    </xf>
    <xf numFmtId="0" fontId="36" fillId="0" borderId="20" xfId="0" applyFont="1" applyBorder="1" applyAlignment="1">
      <alignment horizontal="left" vertical="center" wrapText="1"/>
    </xf>
    <xf numFmtId="49" fontId="30" fillId="0" borderId="23" xfId="0" applyNumberFormat="1" applyFont="1" applyBorder="1" applyAlignment="1">
      <alignment horizontal="center" vertical="center" wrapText="1"/>
    </xf>
    <xf numFmtId="193" fontId="36" fillId="0" borderId="20" xfId="0" applyNumberFormat="1" applyFont="1" applyBorder="1" applyAlignment="1">
      <alignment vertical="center" wrapText="1"/>
    </xf>
    <xf numFmtId="49" fontId="45" fillId="0" borderId="19" xfId="0" applyNumberFormat="1" applyFont="1" applyBorder="1" applyAlignment="1">
      <alignment horizontal="left" vertical="center" wrapText="1"/>
    </xf>
    <xf numFmtId="49" fontId="30"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49" fontId="36" fillId="0" borderId="20" xfId="0" applyNumberFormat="1" applyFont="1" applyFill="1" applyBorder="1" applyAlignment="1">
      <alignment horizontal="left" vertical="center" wrapText="1"/>
    </xf>
    <xf numFmtId="0" fontId="30" fillId="0" borderId="19"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0" fillId="45" borderId="20" xfId="0" applyFont="1" applyFill="1" applyBorder="1" applyAlignment="1">
      <alignment horizontal="justify" vertical="center" wrapText="1"/>
    </xf>
    <xf numFmtId="0" fontId="0" fillId="0" borderId="0" xfId="0" applyNumberFormat="1" applyFont="1" applyFill="1" applyAlignment="1" applyProtection="1">
      <alignment/>
      <protection/>
    </xf>
    <xf numFmtId="0" fontId="0" fillId="0" borderId="0" xfId="0" applyFont="1" applyFill="1" applyBorder="1" applyAlignment="1">
      <alignment horizontal="center"/>
    </xf>
    <xf numFmtId="0" fontId="5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protection/>
    </xf>
    <xf numFmtId="0" fontId="0" fillId="0" borderId="0" xfId="0" applyFont="1" applyFill="1" applyBorder="1" applyAlignment="1">
      <alignment/>
    </xf>
    <xf numFmtId="193" fontId="36"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NumberFormat="1" applyFont="1" applyFill="1" applyAlignment="1" applyProtection="1">
      <alignment horizontal="center"/>
      <protection/>
    </xf>
    <xf numFmtId="2" fontId="50" fillId="0" borderId="0" xfId="0" applyNumberFormat="1" applyFont="1" applyBorder="1" applyAlignment="1">
      <alignment/>
    </xf>
    <xf numFmtId="0" fontId="50" fillId="52" borderId="0" xfId="0" applyFont="1" applyFill="1" applyAlignment="1">
      <alignment/>
    </xf>
    <xf numFmtId="2" fontId="50" fillId="0" borderId="0" xfId="0" applyNumberFormat="1" applyFont="1" applyAlignment="1">
      <alignment/>
    </xf>
    <xf numFmtId="0" fontId="50" fillId="0" borderId="0" xfId="0" applyNumberFormat="1" applyFont="1" applyFill="1" applyAlignment="1" applyProtection="1">
      <alignment/>
      <protection/>
    </xf>
    <xf numFmtId="0" fontId="50" fillId="0" borderId="0" xfId="0" applyNumberFormat="1" applyFont="1" applyFill="1" applyAlignment="1" applyProtection="1">
      <alignment horizontal="center"/>
      <protection/>
    </xf>
    <xf numFmtId="0" fontId="50" fillId="0" borderId="0" xfId="0" applyFont="1" applyFill="1" applyAlignment="1">
      <alignment/>
    </xf>
    <xf numFmtId="4" fontId="4" fillId="0" borderId="0" xfId="0" applyNumberFormat="1" applyFont="1" applyFill="1" applyAlignment="1" applyProtection="1">
      <alignment horizontal="center"/>
      <protection/>
    </xf>
    <xf numFmtId="0" fontId="0" fillId="0" borderId="23" xfId="0" applyFont="1" applyBorder="1" applyAlignment="1">
      <alignment horizontal="center" vertical="center" wrapText="1"/>
    </xf>
    <xf numFmtId="4" fontId="36" fillId="0" borderId="23" xfId="0" applyNumberFormat="1" applyFont="1" applyBorder="1" applyAlignment="1">
      <alignment horizontal="center" vertical="center" wrapText="1"/>
    </xf>
    <xf numFmtId="0" fontId="36" fillId="0" borderId="23" xfId="0" applyFont="1" applyBorder="1" applyAlignment="1">
      <alignment vertical="center" wrapText="1"/>
    </xf>
    <xf numFmtId="4" fontId="30" fillId="4" borderId="19" xfId="0" applyNumberFormat="1" applyFont="1" applyFill="1" applyBorder="1" applyAlignment="1">
      <alignment horizontal="center" vertical="center" wrapText="1"/>
    </xf>
    <xf numFmtId="0" fontId="5" fillId="0" borderId="0" xfId="0" applyFont="1" applyFill="1" applyAlignment="1">
      <alignment/>
    </xf>
    <xf numFmtId="2" fontId="36" fillId="0" borderId="19" xfId="244" applyNumberFormat="1" applyFont="1" applyFill="1" applyBorder="1" applyAlignment="1" applyProtection="1">
      <alignment horizontal="justify" vertical="top" wrapText="1"/>
      <protection/>
    </xf>
    <xf numFmtId="0" fontId="36" fillId="0" borderId="0" xfId="0" applyFont="1" applyAlignment="1">
      <alignment vertical="top" wrapText="1"/>
    </xf>
    <xf numFmtId="0" fontId="36" fillId="0" borderId="24" xfId="0" applyFont="1" applyBorder="1" applyAlignment="1">
      <alignment vertical="center" wrapText="1"/>
    </xf>
    <xf numFmtId="4" fontId="36" fillId="52" borderId="19" xfId="0" applyNumberFormat="1" applyFont="1" applyFill="1" applyBorder="1" applyAlignment="1">
      <alignment horizontal="center" vertical="center"/>
    </xf>
    <xf numFmtId="2" fontId="36" fillId="0" borderId="19" xfId="0" applyNumberFormat="1" applyFont="1" applyBorder="1" applyAlignment="1">
      <alignment horizontal="left" vertical="top" wrapText="1"/>
    </xf>
    <xf numFmtId="4" fontId="4" fillId="0" borderId="0" xfId="0" applyNumberFormat="1" applyFont="1" applyFill="1" applyAlignment="1" applyProtection="1">
      <alignment/>
      <protection/>
    </xf>
    <xf numFmtId="2" fontId="36" fillId="0" borderId="19" xfId="244" applyNumberFormat="1" applyFont="1" applyFill="1" applyBorder="1" applyAlignment="1" applyProtection="1">
      <alignment horizontal="left" vertical="top" wrapText="1"/>
      <protection/>
    </xf>
    <xf numFmtId="0" fontId="30" fillId="0" borderId="20" xfId="0" applyFont="1" applyFill="1" applyBorder="1" applyAlignment="1">
      <alignment horizontal="justify" vertical="center" wrapText="1"/>
    </xf>
    <xf numFmtId="49" fontId="36" fillId="0" borderId="20" xfId="0" applyNumberFormat="1" applyFont="1" applyBorder="1" applyAlignment="1">
      <alignment horizontal="center" vertical="center" wrapText="1"/>
    </xf>
    <xf numFmtId="49" fontId="36" fillId="0" borderId="21" xfId="244" applyNumberFormat="1" applyFont="1" applyFill="1" applyBorder="1" applyAlignment="1" applyProtection="1">
      <alignment horizontal="center" vertical="center" wrapText="1"/>
      <protection/>
    </xf>
    <xf numFmtId="4" fontId="0" fillId="0" borderId="0" xfId="0" applyNumberFormat="1" applyFont="1" applyAlignment="1">
      <alignment/>
    </xf>
    <xf numFmtId="4" fontId="36" fillId="0" borderId="23" xfId="189" applyNumberFormat="1" applyFont="1" applyBorder="1" applyAlignment="1">
      <alignment horizontal="center" vertical="center" wrapText="1"/>
      <protection/>
    </xf>
    <xf numFmtId="0" fontId="36" fillId="0" borderId="0" xfId="0" applyFont="1" applyAlignment="1">
      <alignment wrapText="1"/>
    </xf>
    <xf numFmtId="2" fontId="0" fillId="0" borderId="0" xfId="0" applyNumberFormat="1" applyFont="1" applyFill="1" applyAlignment="1" applyProtection="1">
      <alignment/>
      <protection/>
    </xf>
    <xf numFmtId="4" fontId="31" fillId="0" borderId="0" xfId="0" applyNumberFormat="1" applyFont="1" applyFill="1" applyAlignment="1" applyProtection="1">
      <alignment/>
      <protection/>
    </xf>
    <xf numFmtId="193" fontId="36" fillId="0" borderId="24" xfId="189" applyNumberFormat="1" applyFont="1" applyBorder="1" applyAlignment="1">
      <alignment horizontal="left" vertical="center" wrapText="1"/>
      <protection/>
    </xf>
    <xf numFmtId="0" fontId="0" fillId="52" borderId="0" xfId="0" applyNumberFormat="1" applyFont="1" applyFill="1" applyAlignment="1" applyProtection="1">
      <alignment/>
      <protection/>
    </xf>
    <xf numFmtId="0" fontId="30" fillId="52" borderId="19" xfId="0" applyFont="1" applyFill="1" applyBorder="1" applyAlignment="1">
      <alignment horizontal="justify" vertical="center" wrapText="1"/>
    </xf>
    <xf numFmtId="4" fontId="30" fillId="52" borderId="19" xfId="0" applyNumberFormat="1" applyFont="1" applyFill="1" applyBorder="1" applyAlignment="1">
      <alignment horizontal="center" vertical="center"/>
    </xf>
    <xf numFmtId="0" fontId="0" fillId="52" borderId="0" xfId="0" applyFont="1" applyFill="1" applyAlignment="1">
      <alignment/>
    </xf>
    <xf numFmtId="0" fontId="36" fillId="52" borderId="19" xfId="0" applyFont="1" applyFill="1" applyBorder="1" applyAlignment="1">
      <alignment horizontal="justify" vertical="center" wrapText="1"/>
    </xf>
    <xf numFmtId="49" fontId="36" fillId="0" borderId="20" xfId="244" applyNumberFormat="1" applyFont="1" applyFill="1" applyBorder="1" applyAlignment="1" applyProtection="1">
      <alignment horizontal="left" vertical="center" wrapText="1"/>
      <protection/>
    </xf>
    <xf numFmtId="193" fontId="36" fillId="0" borderId="23" xfId="189" applyNumberFormat="1" applyFont="1" applyBorder="1" applyAlignment="1">
      <alignment horizontal="center" vertical="center" wrapText="1"/>
      <protection/>
    </xf>
    <xf numFmtId="0" fontId="59" fillId="0" borderId="19" xfId="0" applyFont="1" applyFill="1" applyBorder="1" applyAlignment="1">
      <alignment vertical="center" wrapText="1"/>
    </xf>
    <xf numFmtId="4" fontId="59" fillId="0" borderId="19" xfId="0" applyNumberFormat="1" applyFont="1" applyFill="1" applyBorder="1" applyAlignment="1">
      <alignment horizontal="center" vertical="center" wrapText="1"/>
    </xf>
    <xf numFmtId="49" fontId="36" fillId="52" borderId="20" xfId="0" applyNumberFormat="1" applyFont="1" applyFill="1" applyBorder="1" applyAlignment="1">
      <alignment horizontal="left" vertical="top" wrapText="1"/>
    </xf>
    <xf numFmtId="0" fontId="36" fillId="0" borderId="19" xfId="0" applyFont="1" applyFill="1" applyBorder="1" applyAlignment="1">
      <alignment vertical="center" wrapText="1"/>
    </xf>
    <xf numFmtId="0" fontId="35" fillId="0" borderId="19" xfId="0" applyNumberFormat="1" applyFont="1" applyFill="1" applyBorder="1" applyAlignment="1" applyProtection="1">
      <alignment horizontal="center" vertical="center" wrapText="1"/>
      <protection/>
    </xf>
    <xf numFmtId="0" fontId="30" fillId="52" borderId="20" xfId="0" applyFont="1" applyFill="1" applyBorder="1" applyAlignment="1">
      <alignment horizontal="justify" vertical="center" wrapText="1"/>
    </xf>
    <xf numFmtId="4" fontId="30" fillId="52" borderId="19" xfId="189" applyNumberFormat="1" applyFont="1" applyFill="1" applyBorder="1" applyAlignment="1">
      <alignment horizontal="center" vertical="center"/>
      <protection/>
    </xf>
    <xf numFmtId="0" fontId="0" fillId="0" borderId="0" xfId="0" applyFont="1" applyAlignment="1">
      <alignment horizontal="left" wrapText="1"/>
    </xf>
    <xf numFmtId="2" fontId="45" fillId="0" borderId="19" xfId="244" applyNumberFormat="1" applyFont="1" applyFill="1" applyBorder="1" applyAlignment="1" applyProtection="1">
      <alignment horizontal="justify" vertical="top" wrapText="1"/>
      <protection/>
    </xf>
    <xf numFmtId="0" fontId="30" fillId="0" borderId="19" xfId="0" applyFont="1" applyFill="1" applyBorder="1" applyAlignment="1">
      <alignment horizontal="justify" vertical="center" wrapText="1"/>
    </xf>
    <xf numFmtId="193" fontId="36" fillId="0" borderId="19" xfId="0" applyNumberFormat="1" applyFont="1" applyFill="1" applyBorder="1" applyAlignment="1">
      <alignment vertical="center" wrapText="1"/>
    </xf>
    <xf numFmtId="193" fontId="36" fillId="0" borderId="19" xfId="0" applyNumberFormat="1" applyFont="1" applyFill="1" applyBorder="1" applyAlignment="1">
      <alignment horizontal="center" vertical="center" wrapText="1"/>
    </xf>
    <xf numFmtId="4" fontId="30" fillId="0" borderId="23" xfId="0" applyNumberFormat="1" applyFont="1" applyFill="1" applyBorder="1" applyAlignment="1">
      <alignment horizontal="center" vertical="center"/>
    </xf>
    <xf numFmtId="4" fontId="36" fillId="0" borderId="23" xfId="0" applyNumberFormat="1" applyFont="1" applyBorder="1" applyAlignment="1">
      <alignment horizontal="center" vertical="center"/>
    </xf>
    <xf numFmtId="0" fontId="36" fillId="0" borderId="19" xfId="0" applyFont="1" applyBorder="1" applyAlignment="1">
      <alignment horizontal="left" vertical="center" wrapText="1"/>
    </xf>
    <xf numFmtId="2" fontId="36" fillId="52" borderId="19" xfId="0" applyNumberFormat="1" applyFont="1" applyFill="1" applyBorder="1" applyAlignment="1">
      <alignment horizontal="left" vertical="top" wrapText="1"/>
    </xf>
    <xf numFmtId="0" fontId="36" fillId="52" borderId="19" xfId="0" applyFont="1" applyFill="1" applyBorder="1" applyAlignment="1">
      <alignment horizontal="center" vertical="center" wrapText="1"/>
    </xf>
    <xf numFmtId="0" fontId="36" fillId="52" borderId="20" xfId="0" applyFont="1" applyFill="1" applyBorder="1" applyAlignment="1">
      <alignment horizontal="justify" vertical="center" wrapText="1"/>
    </xf>
    <xf numFmtId="4" fontId="36" fillId="52" borderId="19" xfId="189" applyNumberFormat="1" applyFont="1" applyFill="1" applyBorder="1" applyAlignment="1">
      <alignment horizontal="center" vertical="center"/>
      <protection/>
    </xf>
    <xf numFmtId="0" fontId="36" fillId="52" borderId="0" xfId="0" applyNumberFormat="1" applyFont="1" applyFill="1" applyAlignment="1" applyProtection="1">
      <alignment/>
      <protection/>
    </xf>
    <xf numFmtId="49" fontId="36" fillId="0" borderId="23" xfId="0" applyNumberFormat="1" applyFont="1" applyFill="1" applyBorder="1" applyAlignment="1" applyProtection="1">
      <alignment horizontal="center" vertical="center" wrapText="1"/>
      <protection/>
    </xf>
    <xf numFmtId="0" fontId="36" fillId="52" borderId="0" xfId="0" applyFont="1" applyFill="1" applyAlignment="1">
      <alignment/>
    </xf>
    <xf numFmtId="49" fontId="30" fillId="0" borderId="23" xfId="0" applyNumberFormat="1" applyFont="1" applyFill="1" applyBorder="1" applyAlignment="1" applyProtection="1">
      <alignment horizontal="center" vertical="center" wrapText="1"/>
      <protection/>
    </xf>
    <xf numFmtId="0" fontId="36" fillId="0" borderId="23" xfId="0" applyNumberFormat="1" applyFont="1" applyFill="1" applyBorder="1" applyAlignment="1" applyProtection="1">
      <alignment horizontal="left" vertical="center" wrapText="1"/>
      <protection/>
    </xf>
    <xf numFmtId="0" fontId="36" fillId="0" borderId="19" xfId="0" applyFont="1" applyFill="1" applyBorder="1" applyAlignment="1">
      <alignment horizontal="justify" vertical="center" wrapText="1"/>
    </xf>
    <xf numFmtId="0" fontId="54" fillId="0" borderId="0" xfId="0" applyFont="1" applyAlignment="1">
      <alignment vertical="center" wrapText="1"/>
    </xf>
    <xf numFmtId="4" fontId="0" fillId="0" borderId="0" xfId="0" applyNumberFormat="1" applyFont="1" applyFill="1" applyAlignment="1">
      <alignment vertical="center"/>
    </xf>
    <xf numFmtId="2" fontId="0" fillId="0" borderId="0" xfId="0" applyNumberFormat="1" applyFont="1" applyFill="1" applyAlignment="1">
      <alignment vertical="center"/>
    </xf>
    <xf numFmtId="4" fontId="0" fillId="0" borderId="0" xfId="0" applyNumberFormat="1" applyFont="1" applyFill="1" applyAlignment="1">
      <alignment/>
    </xf>
    <xf numFmtId="4" fontId="21" fillId="52" borderId="0" xfId="0" applyNumberFormat="1" applyFont="1" applyFill="1" applyBorder="1" applyAlignment="1">
      <alignment horizontal="center" vertical="center"/>
    </xf>
    <xf numFmtId="0" fontId="50" fillId="52" borderId="0" xfId="0" applyNumberFormat="1" applyFont="1" applyFill="1" applyBorder="1" applyAlignment="1" applyProtection="1">
      <alignment/>
      <protection/>
    </xf>
    <xf numFmtId="4" fontId="50" fillId="52" borderId="0" xfId="0" applyNumberFormat="1" applyFont="1" applyFill="1" applyBorder="1" applyAlignment="1" applyProtection="1">
      <alignment/>
      <protection/>
    </xf>
    <xf numFmtId="0" fontId="36" fillId="52" borderId="19" xfId="0" applyFont="1" applyFill="1" applyBorder="1" applyAlignment="1">
      <alignment horizontal="left" vertical="center" wrapText="1"/>
    </xf>
    <xf numFmtId="193" fontId="36" fillId="0" borderId="19" xfId="0" applyNumberFormat="1" applyFont="1" applyBorder="1" applyAlignment="1">
      <alignment horizontal="left" vertical="center" wrapText="1"/>
    </xf>
    <xf numFmtId="0" fontId="37" fillId="0" borderId="0" xfId="0" applyNumberFormat="1" applyFont="1" applyFill="1" applyAlignment="1" applyProtection="1">
      <alignment horizontal="center" vertical="center"/>
      <protection/>
    </xf>
    <xf numFmtId="0" fontId="50" fillId="0" borderId="0" xfId="0" applyNumberFormat="1" applyFont="1" applyFill="1" applyBorder="1" applyAlignment="1" applyProtection="1">
      <alignment horizontal="center" vertical="top" wrapText="1"/>
      <protection/>
    </xf>
    <xf numFmtId="0" fontId="54" fillId="0" borderId="0" xfId="0" applyFont="1" applyAlignment="1">
      <alignment horizontal="center" vertical="center" wrapText="1"/>
    </xf>
    <xf numFmtId="0" fontId="21" fillId="52" borderId="23" xfId="0" applyFont="1" applyFill="1" applyBorder="1" applyAlignment="1">
      <alignment horizontal="center" vertical="center" wrapText="1"/>
    </xf>
    <xf numFmtId="0" fontId="29" fillId="0" borderId="0" xfId="0" applyNumberFormat="1" applyFont="1" applyFill="1" applyAlignment="1" applyProtection="1">
      <alignment horizontal="center" vertical="top"/>
      <protection/>
    </xf>
    <xf numFmtId="0" fontId="74" fillId="0" borderId="0" xfId="0" applyNumberFormat="1" applyFont="1" applyFill="1" applyAlignment="1" applyProtection="1">
      <alignment horizontal="center" vertical="center"/>
      <protection/>
    </xf>
    <xf numFmtId="0" fontId="63" fillId="0" borderId="0" xfId="0" applyNumberFormat="1" applyFont="1" applyFill="1" applyBorder="1" applyAlignment="1" applyProtection="1">
      <alignment horizontal="center" vertical="center"/>
      <protection/>
    </xf>
    <xf numFmtId="0" fontId="21" fillId="0" borderId="19" xfId="0" applyFont="1" applyFill="1" applyBorder="1" applyAlignment="1">
      <alignment/>
    </xf>
    <xf numFmtId="0" fontId="21" fillId="0" borderId="0" xfId="0" applyFont="1" applyFill="1" applyAlignment="1">
      <alignment/>
    </xf>
    <xf numFmtId="4" fontId="21" fillId="0" borderId="19" xfId="0" applyNumberFormat="1" applyFont="1" applyFill="1" applyBorder="1" applyAlignment="1">
      <alignment/>
    </xf>
    <xf numFmtId="0" fontId="75" fillId="0" borderId="0" xfId="0" applyNumberFormat="1" applyFont="1" applyFill="1" applyBorder="1" applyAlignment="1" applyProtection="1">
      <alignment horizontal="center" vertical="top" wrapText="1"/>
      <protection/>
    </xf>
    <xf numFmtId="0" fontId="59" fillId="0" borderId="18" xfId="0" applyNumberFormat="1" applyFont="1" applyFill="1" applyBorder="1" applyAlignment="1" applyProtection="1">
      <alignment horizontal="center"/>
      <protection/>
    </xf>
    <xf numFmtId="0" fontId="45" fillId="52" borderId="19" xfId="0" applyFont="1" applyFill="1" applyBorder="1" applyAlignment="1">
      <alignment horizontal="center" vertical="center" wrapText="1"/>
    </xf>
    <xf numFmtId="0" fontId="36" fillId="4" borderId="19" xfId="0" applyFont="1" applyFill="1" applyBorder="1" applyAlignment="1">
      <alignment horizontal="center" vertical="center" wrapText="1"/>
    </xf>
    <xf numFmtId="49" fontId="78" fillId="0" borderId="0" xfId="0" applyNumberFormat="1" applyFont="1" applyFill="1" applyBorder="1" applyAlignment="1">
      <alignment horizontal="center" vertical="center" wrapText="1"/>
    </xf>
    <xf numFmtId="0" fontId="79" fillId="0" borderId="0" xfId="0" applyFont="1" applyFill="1" applyBorder="1" applyAlignment="1">
      <alignment horizontal="center" vertical="center" wrapText="1"/>
    </xf>
    <xf numFmtId="49" fontId="79" fillId="0" borderId="0" xfId="0" applyNumberFormat="1" applyFont="1" applyFill="1" applyBorder="1" applyAlignment="1">
      <alignment horizontal="center" vertical="center" wrapText="1"/>
    </xf>
    <xf numFmtId="0" fontId="80" fillId="0" borderId="0" xfId="0" applyFont="1" applyFill="1" applyBorder="1" applyAlignment="1">
      <alignment horizontal="justify" vertical="top" wrapText="1" shrinkToFit="1"/>
    </xf>
    <xf numFmtId="4" fontId="80" fillId="0" borderId="0" xfId="0" applyNumberFormat="1" applyFont="1" applyFill="1" applyBorder="1" applyAlignment="1">
      <alignment horizontal="center" vertical="center"/>
    </xf>
    <xf numFmtId="0" fontId="79" fillId="0" borderId="0" xfId="0" applyFont="1" applyFill="1" applyAlignment="1">
      <alignment vertical="center"/>
    </xf>
    <xf numFmtId="4" fontId="80" fillId="52" borderId="0" xfId="0" applyNumberFormat="1" applyFont="1" applyFill="1" applyBorder="1" applyAlignment="1">
      <alignment horizontal="center" vertical="center"/>
    </xf>
    <xf numFmtId="4" fontId="80" fillId="0" borderId="0" xfId="189" applyNumberFormat="1" applyFont="1" applyFill="1" applyBorder="1" applyAlignment="1">
      <alignment horizontal="center" vertical="center"/>
      <protection/>
    </xf>
    <xf numFmtId="1" fontId="74" fillId="0" borderId="0" xfId="0" applyNumberFormat="1" applyFont="1" applyFill="1" applyAlignment="1" applyProtection="1">
      <alignment horizontal="center" vertical="center"/>
      <protection/>
    </xf>
    <xf numFmtId="0" fontId="50" fillId="52" borderId="23" xfId="0" applyFont="1" applyFill="1" applyBorder="1" applyAlignment="1">
      <alignment horizontal="center" vertical="center" wrapText="1"/>
    </xf>
    <xf numFmtId="0" fontId="0" fillId="0" borderId="0" xfId="0" applyFont="1" applyAlignment="1">
      <alignment horizontal="left" wrapText="1"/>
    </xf>
    <xf numFmtId="4" fontId="30" fillId="0" borderId="20" xfId="0" applyNumberFormat="1" applyFont="1" applyFill="1" applyBorder="1" applyAlignment="1" applyProtection="1">
      <alignment horizontal="center" vertical="center"/>
      <protection/>
    </xf>
    <xf numFmtId="4" fontId="36" fillId="0" borderId="20" xfId="189" applyNumberFormat="1" applyFont="1" applyBorder="1" applyAlignment="1">
      <alignment horizontal="center" vertical="center"/>
      <protection/>
    </xf>
    <xf numFmtId="4" fontId="36" fillId="0" borderId="20" xfId="0" applyNumberFormat="1" applyFont="1" applyFill="1" applyBorder="1" applyAlignment="1" applyProtection="1">
      <alignment horizontal="center" vertical="center"/>
      <protection/>
    </xf>
    <xf numFmtId="49" fontId="36" fillId="0" borderId="24" xfId="0" applyNumberFormat="1" applyFont="1" applyBorder="1" applyAlignment="1">
      <alignment horizontal="center" vertical="center" wrapText="1"/>
    </xf>
    <xf numFmtId="0" fontId="36" fillId="0" borderId="20" xfId="0"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23" xfId="0" applyNumberFormat="1" applyFont="1" applyFill="1" applyBorder="1" applyAlignment="1">
      <alignment horizontal="center" vertical="center" wrapText="1"/>
    </xf>
    <xf numFmtId="193" fontId="36" fillId="0" borderId="23" xfId="0" applyNumberFormat="1" applyFont="1" applyFill="1" applyBorder="1" applyAlignment="1">
      <alignment horizontal="center" vertical="center" wrapText="1"/>
    </xf>
    <xf numFmtId="0" fontId="36" fillId="0" borderId="20" xfId="0" applyFont="1" applyFill="1" applyBorder="1" applyAlignment="1">
      <alignment horizontal="left" vertical="center" wrapText="1"/>
    </xf>
    <xf numFmtId="49" fontId="36" fillId="52" borderId="20" xfId="0" applyNumberFormat="1" applyFont="1" applyFill="1" applyBorder="1" applyAlignment="1">
      <alignment horizontal="center" vertical="center" wrapText="1"/>
    </xf>
    <xf numFmtId="0" fontId="36" fillId="0" borderId="24" xfId="0" applyFont="1" applyFill="1" applyBorder="1" applyAlignment="1">
      <alignment horizontal="center" vertical="center" wrapText="1"/>
    </xf>
    <xf numFmtId="49" fontId="36" fillId="0" borderId="23" xfId="0" applyNumberFormat="1" applyFont="1" applyFill="1" applyBorder="1" applyAlignment="1">
      <alignment horizontal="center" vertical="center" wrapText="1"/>
    </xf>
    <xf numFmtId="49" fontId="36" fillId="0" borderId="20" xfId="0" applyNumberFormat="1" applyFont="1" applyBorder="1" applyAlignment="1">
      <alignment horizontal="left" vertical="center" wrapText="1"/>
    </xf>
    <xf numFmtId="49" fontId="36" fillId="0" borderId="23" xfId="0" applyNumberFormat="1" applyFont="1" applyBorder="1" applyAlignment="1">
      <alignment horizontal="left" vertical="center" wrapText="1"/>
    </xf>
    <xf numFmtId="49" fontId="30" fillId="0" borderId="24" xfId="0" applyNumberFormat="1" applyFont="1" applyBorder="1" applyAlignment="1">
      <alignment horizontal="center" vertical="center" wrapText="1"/>
    </xf>
    <xf numFmtId="0" fontId="36" fillId="0" borderId="20" xfId="0" applyFont="1" applyBorder="1" applyAlignment="1">
      <alignment vertical="center" wrapText="1"/>
    </xf>
    <xf numFmtId="0" fontId="29" fillId="0" borderId="20" xfId="0" applyFont="1" applyBorder="1" applyAlignment="1">
      <alignment horizontal="left" vertical="center" wrapText="1"/>
    </xf>
    <xf numFmtId="0" fontId="29" fillId="0" borderId="23" xfId="0" applyFont="1" applyBorder="1" applyAlignment="1">
      <alignment horizontal="left" vertical="center" wrapText="1"/>
    </xf>
    <xf numFmtId="49" fontId="36" fillId="0" borderId="20" xfId="0" applyNumberFormat="1" applyFont="1" applyBorder="1" applyAlignment="1">
      <alignment horizontal="justify" vertical="center" wrapText="1"/>
    </xf>
    <xf numFmtId="0" fontId="29" fillId="0" borderId="19" xfId="0" applyFont="1" applyFill="1" applyBorder="1" applyAlignment="1">
      <alignment vertical="center" wrapText="1"/>
    </xf>
    <xf numFmtId="4" fontId="30" fillId="0" borderId="20" xfId="189" applyNumberFormat="1" applyFont="1" applyBorder="1" applyAlignment="1">
      <alignment horizontal="center" vertical="center"/>
      <protection/>
    </xf>
    <xf numFmtId="4" fontId="36" fillId="0" borderId="20" xfId="189" applyNumberFormat="1" applyFont="1" applyBorder="1" applyAlignment="1">
      <alignment horizontal="center" vertical="center" wrapText="1"/>
      <protection/>
    </xf>
    <xf numFmtId="0" fontId="29" fillId="0" borderId="19" xfId="0" applyFont="1" applyBorder="1" applyAlignment="1">
      <alignment horizontal="left" vertical="center" wrapText="1"/>
    </xf>
    <xf numFmtId="0" fontId="36" fillId="0" borderId="24" xfId="0" applyFont="1" applyBorder="1" applyAlignment="1">
      <alignment horizontal="left" vertical="center" wrapText="1"/>
    </xf>
    <xf numFmtId="0" fontId="36" fillId="0" borderId="23" xfId="0" applyFont="1" applyBorder="1" applyAlignment="1">
      <alignment horizontal="left" vertical="center" wrapText="1"/>
    </xf>
    <xf numFmtId="49" fontId="30" fillId="45" borderId="20" xfId="0" applyNumberFormat="1" applyFont="1" applyFill="1" applyBorder="1" applyAlignment="1">
      <alignment horizontal="center" vertical="center" wrapText="1"/>
    </xf>
    <xf numFmtId="49" fontId="36" fillId="53" borderId="24" xfId="0" applyNumberFormat="1" applyFont="1" applyFill="1" applyBorder="1" applyAlignment="1">
      <alignment horizontal="center" vertical="center" wrapText="1"/>
    </xf>
    <xf numFmtId="49" fontId="36" fillId="53" borderId="23" xfId="0" applyNumberFormat="1" applyFont="1" applyFill="1" applyBorder="1" applyAlignment="1">
      <alignment horizontal="center" vertical="center" wrapText="1"/>
    </xf>
    <xf numFmtId="49" fontId="29" fillId="0" borderId="0" xfId="0" applyNumberFormat="1" applyFont="1" applyFill="1" applyAlignment="1" applyProtection="1">
      <alignment horizontal="left" vertical="center"/>
      <protection/>
    </xf>
    <xf numFmtId="0" fontId="29" fillId="0" borderId="0" xfId="0" applyNumberFormat="1" applyFont="1" applyFill="1" applyAlignment="1" applyProtection="1">
      <alignment horizontal="left" vertical="center"/>
      <protection/>
    </xf>
    <xf numFmtId="49"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50" fillId="0" borderId="0"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horizontal="center" vertical="center"/>
      <protection/>
    </xf>
    <xf numFmtId="49" fontId="30" fillId="45" borderId="19" xfId="0" applyNumberFormat="1" applyFont="1" applyFill="1" applyBorder="1" applyAlignment="1">
      <alignment horizontal="center" vertical="center" wrapText="1"/>
    </xf>
    <xf numFmtId="49" fontId="36" fillId="45" borderId="19" xfId="0" applyNumberFormat="1" applyFont="1" applyFill="1" applyBorder="1" applyAlignment="1">
      <alignment horizontal="center" vertical="center" wrapText="1"/>
    </xf>
    <xf numFmtId="193" fontId="36" fillId="45" borderId="19" xfId="189" applyNumberFormat="1" applyFont="1" applyFill="1" applyBorder="1" applyAlignment="1">
      <alignment vertical="center" wrapText="1"/>
      <protection/>
    </xf>
    <xf numFmtId="193" fontId="36" fillId="0" borderId="19" xfId="189" applyNumberFormat="1" applyFont="1" applyFill="1" applyBorder="1" applyAlignment="1">
      <alignment vertical="center" wrapText="1"/>
      <protection/>
    </xf>
    <xf numFmtId="193" fontId="36" fillId="52" borderId="19" xfId="189" applyNumberFormat="1" applyFont="1" applyFill="1" applyBorder="1" applyAlignment="1">
      <alignment vertical="center" wrapText="1"/>
      <protection/>
    </xf>
    <xf numFmtId="0" fontId="36" fillId="0" borderId="19" xfId="244" applyFont="1" applyFill="1" applyBorder="1" applyAlignment="1" applyProtection="1">
      <alignment vertical="center" wrapText="1"/>
      <protection/>
    </xf>
    <xf numFmtId="193" fontId="36" fillId="0" borderId="19" xfId="189" applyNumberFormat="1" applyFont="1" applyBorder="1" applyAlignment="1">
      <alignment vertical="center" wrapText="1"/>
      <protection/>
    </xf>
    <xf numFmtId="0" fontId="36" fillId="0" borderId="25" xfId="243" applyFont="1" applyBorder="1" applyAlignment="1">
      <alignment vertical="center" wrapText="1"/>
      <protection/>
    </xf>
    <xf numFmtId="0" fontId="36" fillId="0" borderId="19" xfId="243" applyFont="1" applyBorder="1" applyAlignment="1">
      <alignment vertical="center" wrapText="1"/>
      <protection/>
    </xf>
    <xf numFmtId="0" fontId="36" fillId="0" borderId="20" xfId="243" applyFont="1" applyBorder="1" applyAlignment="1">
      <alignment vertical="center" wrapText="1"/>
      <protection/>
    </xf>
    <xf numFmtId="0" fontId="29" fillId="0" borderId="19" xfId="0" applyFont="1" applyFill="1" applyBorder="1" applyAlignment="1">
      <alignment horizontal="left" vertical="center" wrapText="1"/>
    </xf>
    <xf numFmtId="193" fontId="36" fillId="0" borderId="20" xfId="189" applyNumberFormat="1" applyFont="1" applyFill="1" applyBorder="1" applyAlignment="1">
      <alignment vertical="center" wrapText="1"/>
      <protection/>
    </xf>
    <xf numFmtId="49" fontId="36" fillId="0" borderId="19" xfId="0" applyNumberFormat="1" applyFont="1" applyBorder="1" applyAlignment="1">
      <alignment horizontal="justify" vertical="center" wrapText="1"/>
    </xf>
    <xf numFmtId="0" fontId="0" fillId="0" borderId="19" xfId="0" applyFont="1" applyBorder="1" applyAlignment="1">
      <alignment vertical="center"/>
    </xf>
    <xf numFmtId="193" fontId="36" fillId="0" borderId="19" xfId="189" applyNumberFormat="1" applyFont="1" applyBorder="1" applyAlignment="1">
      <alignment horizontal="left" vertical="center" wrapText="1"/>
      <protection/>
    </xf>
    <xf numFmtId="0" fontId="29" fillId="0" borderId="0" xfId="0" applyFont="1" applyFill="1" applyBorder="1" applyAlignment="1">
      <alignment horizontal="left" vertical="center" wrapText="1"/>
    </xf>
    <xf numFmtId="0" fontId="29" fillId="0" borderId="0" xfId="0" applyFont="1" applyFill="1" applyAlignment="1">
      <alignment horizontal="left" vertical="center" wrapText="1"/>
    </xf>
    <xf numFmtId="193" fontId="36" fillId="45" borderId="19" xfId="0" applyNumberFormat="1" applyFont="1" applyFill="1" applyBorder="1" applyAlignment="1" applyProtection="1">
      <alignment vertical="center" wrapText="1"/>
      <protection/>
    </xf>
    <xf numFmtId="193" fontId="36" fillId="0" borderId="19" xfId="0" applyNumberFormat="1" applyFont="1" applyFill="1" applyBorder="1" applyAlignment="1" applyProtection="1">
      <alignment vertical="center" wrapText="1"/>
      <protection/>
    </xf>
    <xf numFmtId="193" fontId="36" fillId="52" borderId="19" xfId="0" applyNumberFormat="1" applyFont="1" applyFill="1" applyBorder="1" applyAlignment="1" applyProtection="1">
      <alignment vertical="center" wrapText="1"/>
      <protection/>
    </xf>
    <xf numFmtId="0" fontId="36" fillId="0" borderId="19" xfId="0" applyFont="1" applyBorder="1" applyAlignment="1">
      <alignment horizontal="justify" vertical="center" wrapText="1"/>
    </xf>
    <xf numFmtId="0" fontId="36" fillId="52" borderId="19" xfId="0" applyFont="1" applyFill="1" applyBorder="1" applyAlignment="1">
      <alignment vertical="center" wrapText="1"/>
    </xf>
    <xf numFmtId="0" fontId="36" fillId="52" borderId="20" xfId="0" applyFont="1" applyFill="1" applyBorder="1" applyAlignment="1">
      <alignment vertical="center" wrapText="1"/>
    </xf>
    <xf numFmtId="193" fontId="36" fillId="45" borderId="19" xfId="0" applyNumberFormat="1" applyFont="1" applyFill="1" applyBorder="1" applyAlignment="1">
      <alignment vertical="center" wrapText="1"/>
    </xf>
    <xf numFmtId="49" fontId="30" fillId="52" borderId="19" xfId="0" applyNumberFormat="1" applyFont="1" applyFill="1" applyBorder="1" applyAlignment="1">
      <alignment horizontal="center" vertical="center" wrapText="1"/>
    </xf>
    <xf numFmtId="193" fontId="36" fillId="52" borderId="19" xfId="0" applyNumberFormat="1" applyFont="1" applyFill="1" applyBorder="1" applyAlignment="1">
      <alignment horizontal="left" vertical="center" wrapText="1"/>
    </xf>
    <xf numFmtId="193" fontId="36" fillId="0" borderId="19" xfId="0" applyNumberFormat="1" applyFont="1" applyBorder="1" applyAlignment="1">
      <alignment vertical="center" wrapText="1"/>
    </xf>
    <xf numFmtId="0" fontId="36" fillId="0" borderId="20" xfId="0" applyFont="1" applyBorder="1" applyAlignment="1">
      <alignment horizontal="justify" vertical="center" wrapText="1"/>
    </xf>
    <xf numFmtId="193" fontId="36" fillId="52" borderId="19" xfId="0" applyNumberFormat="1" applyFont="1" applyFill="1" applyBorder="1" applyAlignment="1">
      <alignment vertical="center" wrapText="1"/>
    </xf>
    <xf numFmtId="193" fontId="36" fillId="0" borderId="20" xfId="0" applyNumberFormat="1" applyFont="1" applyFill="1" applyBorder="1" applyAlignment="1">
      <alignment vertical="center" wrapText="1"/>
    </xf>
    <xf numFmtId="4" fontId="36" fillId="0" borderId="19" xfId="0" applyNumberFormat="1" applyFont="1" applyFill="1" applyBorder="1" applyAlignment="1">
      <alignment horizontal="left" vertical="center" wrapText="1"/>
    </xf>
    <xf numFmtId="4" fontId="36" fillId="0" borderId="20" xfId="0" applyNumberFormat="1" applyFont="1" applyFill="1" applyBorder="1" applyAlignment="1">
      <alignment horizontal="left" vertical="center" wrapText="1"/>
    </xf>
    <xf numFmtId="49" fontId="30" fillId="52" borderId="26" xfId="0" applyNumberFormat="1" applyFont="1" applyFill="1" applyBorder="1" applyAlignment="1">
      <alignment horizontal="center" vertical="center" wrapText="1"/>
    </xf>
    <xf numFmtId="49" fontId="36" fillId="52" borderId="26" xfId="0" applyNumberFormat="1" applyFont="1" applyFill="1" applyBorder="1" applyAlignment="1">
      <alignment horizontal="center" vertical="center" wrapText="1"/>
    </xf>
    <xf numFmtId="49" fontId="36" fillId="52" borderId="19" xfId="0" applyNumberFormat="1" applyFont="1" applyFill="1" applyBorder="1" applyAlignment="1">
      <alignment horizontal="justify" vertical="center" wrapText="1"/>
    </xf>
    <xf numFmtId="0" fontId="36" fillId="52" borderId="27" xfId="0" applyFont="1" applyFill="1" applyBorder="1" applyAlignment="1">
      <alignment vertical="center" wrapText="1"/>
    </xf>
    <xf numFmtId="2" fontId="36" fillId="0" borderId="23" xfId="0" applyNumberFormat="1" applyFont="1" applyBorder="1" applyAlignment="1">
      <alignment horizontal="left" vertical="center" wrapText="1"/>
    </xf>
    <xf numFmtId="2" fontId="36" fillId="0" borderId="19" xfId="0" applyNumberFormat="1" applyFont="1" applyBorder="1" applyAlignment="1">
      <alignment horizontal="left" vertical="center" wrapText="1"/>
    </xf>
    <xf numFmtId="0" fontId="36" fillId="0" borderId="20" xfId="0" applyFont="1" applyFill="1" applyBorder="1" applyAlignment="1">
      <alignment horizontal="justify" vertical="center" wrapText="1"/>
    </xf>
    <xf numFmtId="193" fontId="30" fillId="45" borderId="19" xfId="189" applyNumberFormat="1" applyFont="1" applyFill="1" applyBorder="1" applyAlignment="1">
      <alignment vertical="center"/>
      <protection/>
    </xf>
    <xf numFmtId="0" fontId="29" fillId="0" borderId="19" xfId="0" applyFont="1" applyBorder="1" applyAlignment="1">
      <alignment vertical="center"/>
    </xf>
    <xf numFmtId="0" fontId="29" fillId="0" borderId="19" xfId="0" applyFont="1" applyBorder="1" applyAlignment="1">
      <alignment vertical="center" wrapText="1"/>
    </xf>
    <xf numFmtId="0" fontId="29" fillId="0" borderId="0" xfId="0" applyFont="1" applyAlignment="1">
      <alignment vertical="center"/>
    </xf>
    <xf numFmtId="49" fontId="0" fillId="0" borderId="0" xfId="0" applyNumberFormat="1" applyFont="1" applyFill="1" applyAlignment="1" applyProtection="1">
      <alignment vertical="center"/>
      <protection/>
    </xf>
    <xf numFmtId="49" fontId="50" fillId="0" borderId="0" xfId="0" applyNumberFormat="1" applyFont="1" applyBorder="1" applyAlignment="1">
      <alignment vertical="center"/>
    </xf>
    <xf numFmtId="2" fontId="50" fillId="0" borderId="0" xfId="0" applyNumberFormat="1" applyFont="1" applyBorder="1" applyAlignment="1">
      <alignment vertical="center"/>
    </xf>
    <xf numFmtId="49" fontId="50" fillId="0" borderId="0" xfId="0" applyNumberFormat="1" applyFont="1" applyAlignment="1">
      <alignment vertical="center"/>
    </xf>
    <xf numFmtId="0" fontId="50" fillId="0" borderId="0" xfId="0" applyFont="1" applyAlignment="1">
      <alignment vertical="center"/>
    </xf>
    <xf numFmtId="49" fontId="50" fillId="0" borderId="0" xfId="0" applyNumberFormat="1" applyFont="1" applyFill="1" applyAlignment="1" applyProtection="1">
      <alignment vertical="center"/>
      <protection/>
    </xf>
    <xf numFmtId="0" fontId="50"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0" fontId="0" fillId="0" borderId="0" xfId="0" applyNumberFormat="1" applyFont="1" applyFill="1" applyAlignment="1" applyProtection="1">
      <alignment vertical="center"/>
      <protection/>
    </xf>
    <xf numFmtId="0" fontId="36" fillId="0" borderId="19" xfId="244" applyFont="1" applyFill="1" applyBorder="1" applyAlignment="1" applyProtection="1">
      <alignment horizontal="center" vertical="center" wrapText="1"/>
      <protection/>
    </xf>
    <xf numFmtId="0" fontId="36" fillId="0" borderId="20" xfId="244" applyFont="1" applyFill="1" applyBorder="1" applyAlignment="1" applyProtection="1">
      <alignment horizontal="center" vertical="center" wrapText="1"/>
      <protection/>
    </xf>
    <xf numFmtId="193" fontId="36" fillId="0" borderId="19" xfId="189" applyNumberFormat="1" applyFont="1" applyBorder="1" applyAlignment="1">
      <alignment horizontal="center" vertical="center" wrapText="1"/>
      <protection/>
    </xf>
    <xf numFmtId="193" fontId="36" fillId="0" borderId="20" xfId="189" applyNumberFormat="1" applyFont="1" applyFill="1" applyBorder="1" applyAlignment="1">
      <alignment horizontal="center" vertical="center" wrapText="1"/>
      <protection/>
    </xf>
    <xf numFmtId="193" fontId="36" fillId="0" borderId="19" xfId="189" applyNumberFormat="1" applyFont="1" applyFill="1" applyBorder="1" applyAlignment="1">
      <alignment horizontal="center" vertical="center" wrapText="1"/>
      <protection/>
    </xf>
    <xf numFmtId="193" fontId="36" fillId="0" borderId="20" xfId="0" applyNumberFormat="1" applyFont="1" applyBorder="1" applyAlignment="1">
      <alignment horizontal="center" vertical="center" wrapText="1"/>
    </xf>
    <xf numFmtId="193" fontId="36" fillId="0" borderId="20" xfId="189" applyNumberFormat="1" applyFont="1" applyBorder="1" applyAlignment="1">
      <alignment horizontal="center" vertical="center" wrapText="1"/>
      <protection/>
    </xf>
    <xf numFmtId="0" fontId="36" fillId="52" borderId="20" xfId="0" applyFont="1" applyFill="1" applyBorder="1" applyAlignment="1">
      <alignment horizontal="center" vertical="center" wrapText="1"/>
    </xf>
    <xf numFmtId="193" fontId="36" fillId="0" borderId="19" xfId="0" applyNumberFormat="1" applyFont="1" applyBorder="1" applyAlignment="1">
      <alignment horizontal="center" vertical="center" wrapText="1"/>
    </xf>
    <xf numFmtId="193" fontId="36" fillId="52" borderId="19" xfId="0" applyNumberFormat="1" applyFont="1" applyFill="1" applyBorder="1" applyAlignment="1">
      <alignment horizontal="center" vertical="center" wrapText="1"/>
    </xf>
    <xf numFmtId="193" fontId="36" fillId="52" borderId="19" xfId="0" applyNumberFormat="1" applyFont="1" applyFill="1" applyBorder="1" applyAlignment="1">
      <alignment vertical="top" wrapText="1"/>
    </xf>
    <xf numFmtId="193" fontId="36" fillId="52" borderId="19" xfId="0" applyNumberFormat="1" applyFont="1" applyFill="1" applyBorder="1" applyAlignment="1">
      <alignment horizontal="center" vertical="top" wrapText="1"/>
    </xf>
    <xf numFmtId="49" fontId="5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6" fillId="0" borderId="19" xfId="217" applyFont="1" applyBorder="1" applyAlignment="1">
      <alignment vertical="top" wrapText="1"/>
      <protection/>
    </xf>
    <xf numFmtId="4" fontId="29" fillId="0" borderId="0" xfId="0" applyNumberFormat="1" applyFont="1" applyFill="1" applyBorder="1" applyAlignment="1">
      <alignment horizontal="center" wrapText="1"/>
    </xf>
    <xf numFmtId="4" fontId="29" fillId="0" borderId="0" xfId="0" applyNumberFormat="1" applyFont="1" applyFill="1" applyAlignment="1">
      <alignment vertical="center"/>
    </xf>
    <xf numFmtId="0" fontId="59" fillId="0" borderId="21" xfId="0" applyFont="1" applyFill="1" applyBorder="1" applyAlignment="1">
      <alignment horizontal="center" vertical="center" wrapText="1"/>
    </xf>
    <xf numFmtId="49" fontId="36" fillId="45" borderId="20" xfId="0" applyNumberFormat="1" applyFont="1" applyFill="1" applyBorder="1" applyAlignment="1">
      <alignment horizontal="center" vertical="center" wrapText="1"/>
    </xf>
    <xf numFmtId="193" fontId="36" fillId="45" borderId="20" xfId="189" applyNumberFormat="1" applyFont="1" applyFill="1" applyBorder="1" applyAlignment="1">
      <alignment vertical="center" wrapText="1"/>
      <protection/>
    </xf>
    <xf numFmtId="4" fontId="30" fillId="45" borderId="20" xfId="189" applyNumberFormat="1" applyFont="1" applyFill="1" applyBorder="1" applyAlignment="1">
      <alignment horizontal="center" vertical="center"/>
      <protection/>
    </xf>
    <xf numFmtId="0" fontId="0" fillId="52" borderId="19"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30" fillId="45" borderId="19" xfId="0" applyFont="1" applyFill="1" applyBorder="1" applyAlignment="1">
      <alignment horizontal="center" vertical="center" wrapText="1"/>
    </xf>
    <xf numFmtId="0" fontId="0" fillId="52" borderId="0" xfId="226" applyFont="1" applyFill="1" applyAlignment="1">
      <alignment horizontal="center"/>
      <protection/>
    </xf>
    <xf numFmtId="0" fontId="0" fillId="52" borderId="0" xfId="226" applyFont="1" applyFill="1">
      <alignment/>
      <protection/>
    </xf>
    <xf numFmtId="4" fontId="82" fillId="52" borderId="0" xfId="226" applyNumberFormat="1" applyFont="1" applyFill="1" applyAlignment="1">
      <alignment horizontal="center"/>
      <protection/>
    </xf>
    <xf numFmtId="0" fontId="84" fillId="52" borderId="0" xfId="226" applyFont="1" applyFill="1" applyBorder="1" applyAlignment="1">
      <alignment horizontal="center"/>
      <protection/>
    </xf>
    <xf numFmtId="0" fontId="0" fillId="52" borderId="0" xfId="226" applyFont="1" applyFill="1" applyBorder="1">
      <alignment/>
      <protection/>
    </xf>
    <xf numFmtId="4" fontId="82" fillId="52" borderId="0" xfId="226" applyNumberFormat="1" applyFont="1" applyFill="1" applyBorder="1" applyAlignment="1">
      <alignment horizontal="center"/>
      <protection/>
    </xf>
    <xf numFmtId="195" fontId="82" fillId="52" borderId="0" xfId="226" applyNumberFormat="1" applyFont="1" applyFill="1" applyBorder="1" applyAlignment="1">
      <alignment horizontal="center"/>
      <protection/>
    </xf>
    <xf numFmtId="195" fontId="0" fillId="52" borderId="0" xfId="226" applyNumberFormat="1" applyFont="1" applyFill="1" applyBorder="1" applyAlignment="1">
      <alignment horizontal="center"/>
      <protection/>
    </xf>
    <xf numFmtId="0" fontId="0" fillId="52" borderId="0" xfId="226" applyFont="1" applyFill="1" applyBorder="1" applyAlignment="1">
      <alignment horizontal="center" vertical="top"/>
      <protection/>
    </xf>
    <xf numFmtId="0" fontId="0" fillId="52" borderId="0" xfId="226" applyFont="1" applyFill="1" applyAlignment="1">
      <alignment/>
      <protection/>
    </xf>
    <xf numFmtId="0" fontId="85" fillId="52" borderId="19" xfId="226" applyNumberFormat="1" applyFont="1" applyFill="1" applyBorder="1" applyAlignment="1" applyProtection="1">
      <alignment horizontal="center" vertical="center" wrapText="1"/>
      <protection/>
    </xf>
    <xf numFmtId="195" fontId="30" fillId="52" borderId="19" xfId="226" applyNumberFormat="1" applyFont="1" applyFill="1" applyBorder="1" applyAlignment="1">
      <alignment horizontal="center" vertical="center" wrapText="1"/>
      <protection/>
    </xf>
    <xf numFmtId="0" fontId="0" fillId="52" borderId="0" xfId="226" applyFont="1" applyFill="1" applyAlignment="1">
      <alignment horizontal="center" vertical="center" wrapText="1"/>
      <protection/>
    </xf>
    <xf numFmtId="0" fontId="0" fillId="52" borderId="19" xfId="226" applyFont="1" applyFill="1" applyBorder="1" applyAlignment="1">
      <alignment horizontal="center" vertical="center"/>
      <protection/>
    </xf>
    <xf numFmtId="0" fontId="0" fillId="52" borderId="19" xfId="226" applyFont="1" applyFill="1" applyBorder="1" applyAlignment="1">
      <alignment horizontal="center" vertical="center" wrapText="1" shrinkToFit="1"/>
      <protection/>
    </xf>
    <xf numFmtId="0" fontId="0" fillId="52" borderId="19" xfId="226" applyNumberFormat="1" applyFont="1" applyFill="1" applyBorder="1" applyAlignment="1" applyProtection="1">
      <alignment horizontal="center" vertical="center" wrapText="1"/>
      <protection/>
    </xf>
    <xf numFmtId="3" fontId="82" fillId="52" borderId="19" xfId="226" applyNumberFormat="1" applyFont="1" applyFill="1" applyBorder="1" applyAlignment="1">
      <alignment horizontal="center" vertical="center"/>
      <protection/>
    </xf>
    <xf numFmtId="0" fontId="82" fillId="52" borderId="19" xfId="226" applyNumberFormat="1" applyFont="1" applyFill="1" applyBorder="1" applyAlignment="1" applyProtection="1">
      <alignment horizontal="center" vertical="center" wrapText="1"/>
      <protection/>
    </xf>
    <xf numFmtId="0" fontId="0" fillId="52" borderId="19" xfId="226" applyNumberFormat="1" applyFont="1" applyFill="1" applyBorder="1" applyAlignment="1">
      <alignment horizontal="center" vertical="center"/>
      <protection/>
    </xf>
    <xf numFmtId="0" fontId="0" fillId="52" borderId="0" xfId="226" applyFont="1" applyFill="1" applyAlignment="1">
      <alignment horizontal="center" vertical="center"/>
      <protection/>
    </xf>
    <xf numFmtId="0" fontId="30" fillId="52" borderId="19" xfId="226" applyFont="1" applyFill="1" applyBorder="1" applyAlignment="1">
      <alignment horizontal="center" vertical="top"/>
      <protection/>
    </xf>
    <xf numFmtId="0" fontId="30" fillId="52" borderId="19" xfId="226" applyFont="1" applyFill="1" applyBorder="1" applyAlignment="1">
      <alignment horizontal="center" wrapText="1" shrinkToFit="1"/>
      <protection/>
    </xf>
    <xf numFmtId="4" fontId="30" fillId="52" borderId="19" xfId="226" applyNumberFormat="1" applyFont="1" applyFill="1" applyBorder="1" applyAlignment="1">
      <alignment horizontal="center"/>
      <protection/>
    </xf>
    <xf numFmtId="4" fontId="43" fillId="52" borderId="19" xfId="226" applyNumberFormat="1" applyFont="1" applyFill="1" applyBorder="1" applyAlignment="1">
      <alignment horizontal="center"/>
      <protection/>
    </xf>
    <xf numFmtId="0" fontId="30" fillId="52" borderId="0" xfId="226" applyFont="1" applyFill="1">
      <alignment/>
      <protection/>
    </xf>
    <xf numFmtId="0" fontId="4" fillId="52" borderId="19" xfId="226" applyFont="1" applyFill="1" applyBorder="1" applyAlignment="1">
      <alignment horizontal="center" vertical="top"/>
      <protection/>
    </xf>
    <xf numFmtId="0" fontId="4" fillId="52" borderId="19" xfId="226" applyFont="1" applyFill="1" applyBorder="1" applyAlignment="1">
      <alignment vertical="top" wrapText="1" shrinkToFit="1"/>
      <protection/>
    </xf>
    <xf numFmtId="4" fontId="4" fillId="52" borderId="19" xfId="226" applyNumberFormat="1" applyFont="1" applyFill="1" applyBorder="1" applyAlignment="1">
      <alignment horizontal="center"/>
      <protection/>
    </xf>
    <xf numFmtId="4" fontId="86" fillId="52" borderId="19" xfId="226" applyNumberFormat="1" applyFont="1" applyFill="1" applyBorder="1" applyAlignment="1">
      <alignment horizontal="center"/>
      <protection/>
    </xf>
    <xf numFmtId="194" fontId="0" fillId="52" borderId="0" xfId="226" applyNumberFormat="1" applyFont="1" applyFill="1">
      <alignment/>
      <protection/>
    </xf>
    <xf numFmtId="0" fontId="86" fillId="52" borderId="0" xfId="226" applyFont="1" applyFill="1">
      <alignment/>
      <protection/>
    </xf>
    <xf numFmtId="0" fontId="4" fillId="52" borderId="0" xfId="226" applyFont="1" applyFill="1">
      <alignment/>
      <protection/>
    </xf>
    <xf numFmtId="0" fontId="0" fillId="52" borderId="19" xfId="226" applyFont="1" applyFill="1" applyBorder="1" applyAlignment="1">
      <alignment horizontal="center"/>
      <protection/>
    </xf>
    <xf numFmtId="0" fontId="0" fillId="52" borderId="19" xfId="226" applyFont="1" applyFill="1" applyBorder="1" applyAlignment="1">
      <alignment vertical="top" wrapText="1" shrinkToFit="1"/>
      <protection/>
    </xf>
    <xf numFmtId="4" fontId="6" fillId="52" borderId="19" xfId="226" applyNumberFormat="1" applyFont="1" applyFill="1" applyBorder="1" applyAlignment="1">
      <alignment horizontal="center"/>
      <protection/>
    </xf>
    <xf numFmtId="4" fontId="87" fillId="0" borderId="19" xfId="212" applyNumberFormat="1" applyFont="1" applyBorder="1" applyAlignment="1">
      <alignment horizontal="center"/>
      <protection/>
    </xf>
    <xf numFmtId="4" fontId="88" fillId="52" borderId="19" xfId="226" applyNumberFormat="1" applyFont="1" applyFill="1" applyBorder="1" applyAlignment="1">
      <alignment horizontal="center"/>
      <protection/>
    </xf>
    <xf numFmtId="4" fontId="89" fillId="52" borderId="19" xfId="226" applyNumberFormat="1" applyFont="1" applyFill="1" applyBorder="1" applyAlignment="1">
      <alignment horizontal="center"/>
      <protection/>
    </xf>
    <xf numFmtId="0" fontId="0" fillId="52" borderId="19" xfId="226" applyFont="1" applyFill="1" applyBorder="1" applyAlignment="1">
      <alignment horizontal="center" wrapText="1"/>
      <protection/>
    </xf>
    <xf numFmtId="0" fontId="0" fillId="52" borderId="19" xfId="226" applyFont="1" applyFill="1" applyBorder="1" applyAlignment="1">
      <alignment vertical="top" wrapText="1" shrinkToFit="1"/>
      <protection/>
    </xf>
    <xf numFmtId="4" fontId="89" fillId="52" borderId="19" xfId="226" applyNumberFormat="1" applyFont="1" applyFill="1" applyBorder="1" applyAlignment="1">
      <alignment horizontal="center"/>
      <protection/>
    </xf>
    <xf numFmtId="0" fontId="0" fillId="52" borderId="19" xfId="226" applyFont="1" applyFill="1" applyBorder="1" applyAlignment="1">
      <alignment horizontal="center" vertical="top"/>
      <protection/>
    </xf>
    <xf numFmtId="4" fontId="87" fillId="52" borderId="19" xfId="226" applyNumberFormat="1" applyFont="1" applyFill="1" applyBorder="1" applyAlignment="1">
      <alignment horizontal="center"/>
      <protection/>
    </xf>
    <xf numFmtId="4" fontId="6" fillId="52" borderId="19" xfId="226" applyNumberFormat="1" applyFont="1" applyFill="1" applyBorder="1" applyAlignment="1">
      <alignment horizontal="center"/>
      <protection/>
    </xf>
    <xf numFmtId="0" fontId="0" fillId="52" borderId="19" xfId="226" applyFont="1" applyFill="1" applyBorder="1" applyAlignment="1">
      <alignment horizontal="center"/>
      <protection/>
    </xf>
    <xf numFmtId="4" fontId="90" fillId="52" borderId="19" xfId="226" applyNumberFormat="1" applyFont="1" applyFill="1" applyBorder="1" applyAlignment="1">
      <alignment horizontal="center"/>
      <protection/>
    </xf>
    <xf numFmtId="4" fontId="35" fillId="52" borderId="19" xfId="226" applyNumberFormat="1" applyFont="1" applyFill="1" applyBorder="1" applyAlignment="1">
      <alignment horizontal="center"/>
      <protection/>
    </xf>
    <xf numFmtId="0" fontId="35" fillId="52" borderId="0" xfId="226" applyFont="1" applyFill="1">
      <alignment/>
      <protection/>
    </xf>
    <xf numFmtId="0" fontId="4" fillId="52" borderId="19" xfId="226" applyFont="1" applyFill="1" applyBorder="1" applyAlignment="1">
      <alignment horizontal="center"/>
      <protection/>
    </xf>
    <xf numFmtId="0" fontId="4" fillId="52" borderId="19" xfId="226" applyFont="1" applyFill="1" applyBorder="1" applyAlignment="1">
      <alignment vertical="top" wrapText="1" shrinkToFit="1"/>
      <protection/>
    </xf>
    <xf numFmtId="0" fontId="4" fillId="52" borderId="0" xfId="226" applyFont="1" applyFill="1">
      <alignment/>
      <protection/>
    </xf>
    <xf numFmtId="0" fontId="0" fillId="0" borderId="19" xfId="208" applyBorder="1" applyAlignment="1">
      <alignment horizontal="center"/>
      <protection/>
    </xf>
    <xf numFmtId="0" fontId="0" fillId="0" borderId="19" xfId="208" applyBorder="1" applyAlignment="1">
      <alignment wrapText="1"/>
      <protection/>
    </xf>
    <xf numFmtId="4" fontId="82" fillId="52" borderId="19" xfId="226" applyNumberFormat="1" applyFont="1" applyFill="1" applyBorder="1" applyAlignment="1">
      <alignment horizontal="center"/>
      <protection/>
    </xf>
    <xf numFmtId="4" fontId="82" fillId="52" borderId="19" xfId="226" applyNumberFormat="1" applyFont="1" applyFill="1" applyBorder="1" applyAlignment="1">
      <alignment horizontal="center"/>
      <protection/>
    </xf>
    <xf numFmtId="4" fontId="0" fillId="52" borderId="19" xfId="226" applyNumberFormat="1" applyFont="1" applyFill="1" applyBorder="1" applyAlignment="1">
      <alignment horizontal="center"/>
      <protection/>
    </xf>
    <xf numFmtId="0" fontId="4" fillId="52" borderId="19" xfId="226" applyNumberFormat="1" applyFont="1" applyFill="1" applyBorder="1" applyAlignment="1" applyProtection="1">
      <alignment horizontal="center" vertical="center" wrapText="1"/>
      <protection/>
    </xf>
    <xf numFmtId="0" fontId="4" fillId="52" borderId="19" xfId="226" applyNumberFormat="1" applyFont="1" applyFill="1" applyBorder="1" applyAlignment="1" applyProtection="1">
      <alignment vertical="top" wrapText="1" shrinkToFit="1"/>
      <protection/>
    </xf>
    <xf numFmtId="4" fontId="4" fillId="52" borderId="19" xfId="226" applyNumberFormat="1" applyFont="1" applyFill="1" applyBorder="1" applyAlignment="1">
      <alignment horizontal="center"/>
      <protection/>
    </xf>
    <xf numFmtId="0" fontId="0" fillId="52" borderId="19" xfId="226" applyNumberFormat="1" applyFont="1" applyFill="1" applyBorder="1" applyAlignment="1" applyProtection="1">
      <alignment vertical="top" wrapText="1" shrinkToFit="1"/>
      <protection/>
    </xf>
    <xf numFmtId="0" fontId="0" fillId="52" borderId="0" xfId="226" applyFont="1" applyFill="1">
      <alignment/>
      <protection/>
    </xf>
    <xf numFmtId="4" fontId="86" fillId="52" borderId="19" xfId="226" applyNumberFormat="1" applyFont="1" applyFill="1" applyBorder="1" applyAlignment="1">
      <alignment horizontal="center"/>
      <protection/>
    </xf>
    <xf numFmtId="0" fontId="4" fillId="52" borderId="19" xfId="244" applyFont="1" applyFill="1" applyBorder="1" applyAlignment="1" applyProtection="1">
      <alignment horizontal="center" vertical="center"/>
      <protection/>
    </xf>
    <xf numFmtId="4" fontId="88" fillId="52" borderId="19" xfId="226" applyNumberFormat="1" applyFont="1" applyFill="1" applyBorder="1" applyAlignment="1">
      <alignment horizontal="center"/>
      <protection/>
    </xf>
    <xf numFmtId="0" fontId="86" fillId="52" borderId="19" xfId="226" applyFont="1" applyFill="1" applyBorder="1" applyAlignment="1">
      <alignment horizontal="center" wrapText="1"/>
      <protection/>
    </xf>
    <xf numFmtId="0" fontId="86" fillId="52" borderId="19" xfId="226" applyFont="1" applyFill="1" applyBorder="1" applyAlignment="1">
      <alignment vertical="top" wrapText="1" shrinkToFit="1"/>
      <protection/>
    </xf>
    <xf numFmtId="0" fontId="91" fillId="52" borderId="19" xfId="226" applyFont="1" applyFill="1" applyBorder="1" applyAlignment="1">
      <alignment vertical="top" wrapText="1" shrinkToFit="1"/>
      <protection/>
    </xf>
    <xf numFmtId="4" fontId="4" fillId="52" borderId="0" xfId="226" applyNumberFormat="1" applyFont="1" applyFill="1">
      <alignment/>
      <protection/>
    </xf>
    <xf numFmtId="0" fontId="0" fillId="52" borderId="19" xfId="226" applyFont="1" applyFill="1" applyBorder="1" applyAlignment="1">
      <alignment horizontal="center" vertical="top"/>
      <protection/>
    </xf>
    <xf numFmtId="0" fontId="6" fillId="52" borderId="0" xfId="226" applyFont="1" applyFill="1">
      <alignment/>
      <protection/>
    </xf>
    <xf numFmtId="4" fontId="6" fillId="52" borderId="0" xfId="226" applyNumberFormat="1" applyFont="1" applyFill="1">
      <alignment/>
      <protection/>
    </xf>
    <xf numFmtId="4" fontId="87" fillId="52" borderId="19" xfId="226" applyNumberFormat="1" applyFont="1" applyFill="1" applyBorder="1" applyAlignment="1">
      <alignment horizontal="center"/>
      <protection/>
    </xf>
    <xf numFmtId="0" fontId="5" fillId="52" borderId="19" xfId="226" applyFont="1" applyFill="1" applyBorder="1" applyAlignment="1">
      <alignment vertical="top" wrapText="1" shrinkToFit="1"/>
      <protection/>
    </xf>
    <xf numFmtId="4" fontId="92" fillId="52" borderId="19" xfId="226" applyNumberFormat="1" applyFont="1" applyFill="1" applyBorder="1" applyAlignment="1">
      <alignment horizontal="center"/>
      <protection/>
    </xf>
    <xf numFmtId="0" fontId="5" fillId="52" borderId="19" xfId="226" applyFont="1" applyFill="1" applyBorder="1" applyAlignment="1">
      <alignment horizontal="center" vertical="top"/>
      <protection/>
    </xf>
    <xf numFmtId="4" fontId="33" fillId="52" borderId="19" xfId="226" applyNumberFormat="1" applyFont="1" applyFill="1" applyBorder="1" applyAlignment="1">
      <alignment horizontal="center"/>
      <protection/>
    </xf>
    <xf numFmtId="4" fontId="92" fillId="52" borderId="19" xfId="226" applyNumberFormat="1" applyFont="1" applyFill="1" applyBorder="1" applyAlignment="1">
      <alignment horizontal="center"/>
      <protection/>
    </xf>
    <xf numFmtId="4" fontId="93" fillId="52" borderId="19" xfId="226" applyNumberFormat="1" applyFont="1" applyFill="1" applyBorder="1" applyAlignment="1">
      <alignment horizontal="center"/>
      <protection/>
    </xf>
    <xf numFmtId="0" fontId="93" fillId="52" borderId="0" xfId="226" applyFont="1" applyFill="1">
      <alignment/>
      <protection/>
    </xf>
    <xf numFmtId="0" fontId="4" fillId="52" borderId="19" xfId="226" applyFont="1" applyFill="1" applyBorder="1" applyAlignment="1">
      <alignment horizontal="center" vertical="top"/>
      <protection/>
    </xf>
    <xf numFmtId="0" fontId="89" fillId="52" borderId="0" xfId="226" applyFont="1" applyFill="1">
      <alignment/>
      <protection/>
    </xf>
    <xf numFmtId="0" fontId="89" fillId="52" borderId="0" xfId="226" applyFont="1" applyFill="1">
      <alignment/>
      <protection/>
    </xf>
    <xf numFmtId="0" fontId="0" fillId="52" borderId="19" xfId="250" applyFont="1" applyFill="1" applyBorder="1" applyAlignment="1">
      <alignment horizontal="center"/>
      <protection/>
    </xf>
    <xf numFmtId="0" fontId="0" fillId="52" borderId="19" xfId="250" applyFont="1" applyFill="1" applyBorder="1" applyAlignment="1">
      <alignment wrapText="1"/>
      <protection/>
    </xf>
    <xf numFmtId="0" fontId="4" fillId="52" borderId="19" xfId="244" applyFont="1" applyFill="1" applyBorder="1" applyAlignment="1" applyProtection="1">
      <alignment vertical="top" wrapText="1" shrinkToFit="1"/>
      <protection/>
    </xf>
    <xf numFmtId="0" fontId="89" fillId="52" borderId="19" xfId="226" applyFont="1" applyFill="1" applyBorder="1">
      <alignment/>
      <protection/>
    </xf>
    <xf numFmtId="0" fontId="0" fillId="52" borderId="19" xfId="226" applyFont="1" applyFill="1" applyBorder="1" applyAlignment="1">
      <alignment wrapText="1" shrinkToFit="1"/>
      <protection/>
    </xf>
    <xf numFmtId="0" fontId="4" fillId="52" borderId="19" xfId="226" applyFont="1" applyFill="1" applyBorder="1" applyAlignment="1">
      <alignment horizontal="center" wrapText="1"/>
      <protection/>
    </xf>
    <xf numFmtId="0" fontId="4" fillId="52" borderId="19" xfId="226" applyFont="1" applyFill="1" applyBorder="1" applyAlignment="1">
      <alignment wrapText="1" shrinkToFit="1"/>
      <protection/>
    </xf>
    <xf numFmtId="4" fontId="0" fillId="52" borderId="19" xfId="226" applyNumberFormat="1" applyFont="1" applyFill="1" applyBorder="1" applyAlignment="1">
      <alignment horizontal="center"/>
      <protection/>
    </xf>
    <xf numFmtId="0" fontId="0" fillId="52" borderId="19" xfId="226" applyFont="1" applyFill="1" applyBorder="1" applyAlignment="1">
      <alignment horizontal="center" wrapText="1"/>
      <protection/>
    </xf>
    <xf numFmtId="0" fontId="0" fillId="52" borderId="19" xfId="226" applyFont="1" applyFill="1" applyBorder="1" applyAlignment="1">
      <alignment wrapText="1" shrinkToFit="1"/>
      <protection/>
    </xf>
    <xf numFmtId="0" fontId="4" fillId="52" borderId="19" xfId="226" applyFont="1" applyFill="1" applyBorder="1" applyAlignment="1">
      <alignment horizontal="center" wrapText="1" shrinkToFit="1"/>
      <protection/>
    </xf>
    <xf numFmtId="0" fontId="6" fillId="52" borderId="0" xfId="226" applyFont="1" applyFill="1">
      <alignment/>
      <protection/>
    </xf>
    <xf numFmtId="0" fontId="82" fillId="52" borderId="19" xfId="236" applyFont="1" applyFill="1" applyBorder="1" applyAlignment="1">
      <alignment horizontal="center"/>
      <protection/>
    </xf>
    <xf numFmtId="0" fontId="82" fillId="52" borderId="19" xfId="236" applyFont="1" applyFill="1" applyBorder="1" applyAlignment="1">
      <alignment wrapText="1"/>
      <protection/>
    </xf>
    <xf numFmtId="0" fontId="0" fillId="52" borderId="0" xfId="226" applyFont="1" applyFill="1" applyAlignment="1">
      <alignment wrapText="1"/>
      <protection/>
    </xf>
    <xf numFmtId="0" fontId="0" fillId="52" borderId="19" xfId="244" applyFont="1" applyFill="1" applyBorder="1" applyAlignment="1" applyProtection="1">
      <alignment horizontal="center" vertical="center"/>
      <protection/>
    </xf>
    <xf numFmtId="4" fontId="44" fillId="0" borderId="19" xfId="212" applyNumberFormat="1" applyFont="1" applyBorder="1" applyAlignment="1">
      <alignment horizontal="center"/>
      <protection/>
    </xf>
    <xf numFmtId="0" fontId="0" fillId="52" borderId="19" xfId="244" applyFont="1" applyFill="1" applyBorder="1" applyAlignment="1" applyProtection="1">
      <alignment horizontal="center" vertical="center" wrapText="1"/>
      <protection/>
    </xf>
    <xf numFmtId="0" fontId="82" fillId="52" borderId="19" xfId="226" applyFont="1" applyFill="1" applyBorder="1" applyAlignment="1">
      <alignment vertical="top" wrapText="1" shrinkToFit="1"/>
      <protection/>
    </xf>
    <xf numFmtId="4" fontId="94" fillId="52" borderId="19" xfId="226" applyNumberFormat="1" applyFont="1" applyFill="1" applyBorder="1" applyAlignment="1">
      <alignment horizontal="center"/>
      <protection/>
    </xf>
    <xf numFmtId="0" fontId="94" fillId="52" borderId="0" xfId="226" applyFont="1" applyFill="1">
      <alignment/>
      <protection/>
    </xf>
    <xf numFmtId="0" fontId="0" fillId="52" borderId="19" xfId="244" applyFont="1" applyFill="1" applyBorder="1" applyAlignment="1" applyProtection="1">
      <alignment vertical="top" wrapText="1" shrinkToFit="1"/>
      <protection/>
    </xf>
    <xf numFmtId="0" fontId="0" fillId="52" borderId="19" xfId="226" applyFont="1" applyFill="1" applyBorder="1" applyAlignment="1">
      <alignment horizontal="center" vertical="top" wrapText="1"/>
      <protection/>
    </xf>
    <xf numFmtId="0" fontId="4" fillId="52" borderId="19" xfId="226" applyFont="1" applyFill="1" applyBorder="1">
      <alignment/>
      <protection/>
    </xf>
    <xf numFmtId="0" fontId="6" fillId="52" borderId="19" xfId="226" applyFont="1" applyFill="1" applyBorder="1">
      <alignment/>
      <protection/>
    </xf>
    <xf numFmtId="0" fontId="82" fillId="52" borderId="19" xfId="226" applyFont="1" applyFill="1" applyBorder="1" applyAlignment="1">
      <alignment horizontal="center" vertical="center"/>
      <protection/>
    </xf>
    <xf numFmtId="0" fontId="6" fillId="52" borderId="19" xfId="226" applyFont="1" applyFill="1" applyBorder="1" applyAlignment="1">
      <alignment vertical="top" wrapText="1" shrinkToFit="1"/>
      <protection/>
    </xf>
    <xf numFmtId="0" fontId="4" fillId="52" borderId="19" xfId="226" applyFont="1" applyFill="1" applyBorder="1" applyAlignment="1">
      <alignment horizontal="center" vertical="center"/>
      <protection/>
    </xf>
    <xf numFmtId="0" fontId="0" fillId="52" borderId="19" xfId="226" applyFont="1" applyFill="1" applyBorder="1" applyAlignment="1">
      <alignment horizontal="center" vertical="center"/>
      <protection/>
    </xf>
    <xf numFmtId="0" fontId="82" fillId="52" borderId="0" xfId="226" applyFont="1" applyFill="1" applyAlignment="1">
      <alignment wrapText="1"/>
      <protection/>
    </xf>
    <xf numFmtId="4" fontId="95" fillId="52" borderId="19" xfId="226" applyNumberFormat="1" applyFont="1" applyFill="1" applyBorder="1" applyAlignment="1">
      <alignment horizontal="center"/>
      <protection/>
    </xf>
    <xf numFmtId="0" fontId="81" fillId="52" borderId="0" xfId="226" applyFont="1" applyFill="1">
      <alignment/>
      <protection/>
    </xf>
    <xf numFmtId="0" fontId="4" fillId="52" borderId="19" xfId="244" applyFont="1" applyFill="1" applyBorder="1" applyAlignment="1" applyProtection="1">
      <alignment horizontal="center" vertical="center" wrapText="1"/>
      <protection/>
    </xf>
    <xf numFmtId="0" fontId="4" fillId="52" borderId="19" xfId="244" applyFont="1" applyFill="1" applyBorder="1" applyAlignment="1" applyProtection="1">
      <alignment vertical="top" wrapText="1" shrinkToFit="1"/>
      <protection/>
    </xf>
    <xf numFmtId="0" fontId="30" fillId="52" borderId="0" xfId="226" applyFont="1" applyFill="1">
      <alignment/>
      <protection/>
    </xf>
    <xf numFmtId="0" fontId="30" fillId="52" borderId="19" xfId="226" applyFont="1" applyFill="1" applyBorder="1" applyAlignment="1">
      <alignment horizontal="left" wrapText="1" shrinkToFit="1"/>
      <protection/>
    </xf>
    <xf numFmtId="0" fontId="0" fillId="52" borderId="19" xfId="226" applyFont="1" applyFill="1" applyBorder="1" applyAlignment="1">
      <alignment horizontal="left" wrapText="1" shrinkToFit="1"/>
      <protection/>
    </xf>
    <xf numFmtId="4" fontId="30" fillId="52" borderId="0" xfId="226" applyNumberFormat="1" applyFont="1" applyFill="1">
      <alignment/>
      <protection/>
    </xf>
    <xf numFmtId="0" fontId="36" fillId="52" borderId="0" xfId="226" applyFont="1" applyFill="1">
      <alignment/>
      <protection/>
    </xf>
    <xf numFmtId="0" fontId="4" fillId="52" borderId="19" xfId="226" applyFont="1" applyFill="1" applyBorder="1" applyAlignment="1">
      <alignment horizontal="left" wrapText="1" shrinkToFit="1"/>
      <protection/>
    </xf>
    <xf numFmtId="0" fontId="6" fillId="52" borderId="19" xfId="226" applyFont="1" applyFill="1" applyBorder="1" applyAlignment="1">
      <alignment horizontal="center" vertical="top"/>
      <protection/>
    </xf>
    <xf numFmtId="0" fontId="6" fillId="52" borderId="19" xfId="226" applyFont="1" applyFill="1" applyBorder="1" applyAlignment="1">
      <alignment horizontal="left" wrapText="1" shrinkToFit="1"/>
      <protection/>
    </xf>
    <xf numFmtId="0" fontId="4" fillId="52" borderId="19" xfId="226" applyFont="1" applyFill="1" applyBorder="1" applyAlignment="1">
      <alignment horizontal="left" wrapText="1" shrinkToFit="1"/>
      <protection/>
    </xf>
    <xf numFmtId="0" fontId="82" fillId="52" borderId="19" xfId="226" applyFont="1" applyFill="1" applyBorder="1" applyAlignment="1">
      <alignment horizontal="center"/>
      <protection/>
    </xf>
    <xf numFmtId="4" fontId="82" fillId="52" borderId="19" xfId="226" applyNumberFormat="1" applyFont="1" applyFill="1" applyBorder="1" applyAlignment="1">
      <alignment horizontal="center" wrapText="1"/>
      <protection/>
    </xf>
    <xf numFmtId="4" fontId="0" fillId="52" borderId="19" xfId="226" applyNumberFormat="1" applyFont="1" applyFill="1" applyBorder="1" applyAlignment="1">
      <alignment horizontal="center" wrapText="1"/>
      <protection/>
    </xf>
    <xf numFmtId="4" fontId="0" fillId="52" borderId="0" xfId="226" applyNumberFormat="1" applyFont="1" applyFill="1" applyAlignment="1">
      <alignment horizontal="center"/>
      <protection/>
    </xf>
    <xf numFmtId="0" fontId="0" fillId="52" borderId="0" xfId="226" applyFont="1" applyFill="1" applyAlignment="1">
      <alignment horizontal="center"/>
      <protection/>
    </xf>
    <xf numFmtId="0" fontId="82" fillId="52" borderId="0" xfId="226" applyFont="1" applyFill="1" applyAlignment="1">
      <alignment vertical="top" wrapText="1" shrinkToFit="1"/>
      <protection/>
    </xf>
    <xf numFmtId="4" fontId="6" fillId="52" borderId="0" xfId="226" applyNumberFormat="1" applyFont="1" applyFill="1">
      <alignment/>
      <protection/>
    </xf>
    <xf numFmtId="4" fontId="0" fillId="52" borderId="0" xfId="226" applyNumberFormat="1" applyFont="1" applyFill="1">
      <alignment/>
      <protection/>
    </xf>
    <xf numFmtId="0" fontId="0" fillId="52" borderId="23" xfId="226" applyFont="1" applyFill="1" applyBorder="1" applyAlignment="1">
      <alignment vertical="top" wrapText="1" shrinkToFit="1"/>
      <protection/>
    </xf>
    <xf numFmtId="4" fontId="0" fillId="52" borderId="19" xfId="226" applyNumberFormat="1" applyFont="1" applyFill="1" applyBorder="1" applyAlignment="1">
      <alignment horizontal="center" wrapText="1"/>
      <protection/>
    </xf>
    <xf numFmtId="4" fontId="81" fillId="52" borderId="19" xfId="226" applyNumberFormat="1" applyFont="1" applyFill="1" applyBorder="1" applyAlignment="1">
      <alignment horizontal="center" wrapText="1"/>
      <protection/>
    </xf>
    <xf numFmtId="0" fontId="81" fillId="52" borderId="0" xfId="226" applyFont="1" applyFill="1" applyAlignment="1">
      <alignment horizontal="center"/>
      <protection/>
    </xf>
    <xf numFmtId="0" fontId="0" fillId="52" borderId="19" xfId="208" applyFont="1" applyFill="1" applyBorder="1" applyAlignment="1">
      <alignment wrapText="1"/>
      <protection/>
    </xf>
    <xf numFmtId="0" fontId="0" fillId="52" borderId="23" xfId="208" applyFont="1" applyFill="1" applyBorder="1" applyAlignment="1">
      <alignment wrapText="1"/>
      <protection/>
    </xf>
    <xf numFmtId="0" fontId="0" fillId="0" borderId="19" xfId="249" applyFont="1" applyFill="1" applyBorder="1" applyAlignment="1">
      <alignment horizontal="left" wrapText="1"/>
      <protection/>
    </xf>
    <xf numFmtId="0" fontId="0" fillId="0" borderId="23" xfId="249" applyFont="1" applyFill="1" applyBorder="1" applyAlignment="1">
      <alignment horizontal="left" wrapText="1"/>
      <protection/>
    </xf>
    <xf numFmtId="0" fontId="0" fillId="52" borderId="19" xfId="208" applyFont="1" applyFill="1" applyBorder="1" applyAlignment="1">
      <alignment horizontal="center"/>
      <protection/>
    </xf>
    <xf numFmtId="0" fontId="82" fillId="52" borderId="19" xfId="208" applyFont="1" applyFill="1" applyBorder="1" applyAlignment="1">
      <alignment wrapText="1"/>
      <protection/>
    </xf>
    <xf numFmtId="0" fontId="0" fillId="52" borderId="28" xfId="242" applyFont="1" applyFill="1" applyBorder="1" applyAlignment="1">
      <alignment vertical="top" wrapText="1" shrinkToFit="1"/>
      <protection/>
    </xf>
    <xf numFmtId="0" fontId="0" fillId="52" borderId="29" xfId="242" applyFont="1" applyFill="1" applyBorder="1" applyAlignment="1">
      <alignment vertical="top" wrapText="1" shrinkToFit="1"/>
      <protection/>
    </xf>
    <xf numFmtId="0" fontId="0" fillId="52" borderId="30" xfId="242" applyFont="1" applyFill="1" applyBorder="1" applyAlignment="1">
      <alignment vertical="top" wrapText="1" shrinkToFit="1"/>
      <protection/>
    </xf>
    <xf numFmtId="0" fontId="82" fillId="52" borderId="19" xfId="208" applyFont="1" applyFill="1" applyBorder="1" applyAlignment="1">
      <alignment horizontal="left" vertical="top" wrapText="1"/>
      <protection/>
    </xf>
    <xf numFmtId="0" fontId="0" fillId="0" borderId="19" xfId="208" applyFont="1" applyFill="1" applyBorder="1" applyAlignment="1">
      <alignment horizontal="left" wrapText="1"/>
      <protection/>
    </xf>
    <xf numFmtId="0" fontId="29" fillId="52" borderId="19" xfId="226" applyFont="1" applyFill="1" applyBorder="1" applyAlignment="1">
      <alignment horizontal="center" vertical="top"/>
      <protection/>
    </xf>
    <xf numFmtId="0" fontId="21" fillId="52" borderId="19" xfId="226" applyFont="1" applyFill="1" applyBorder="1" applyAlignment="1">
      <alignment horizontal="center" vertical="center" wrapText="1" shrinkToFit="1"/>
      <protection/>
    </xf>
    <xf numFmtId="4" fontId="85" fillId="52" borderId="19" xfId="226" applyNumberFormat="1" applyFont="1" applyFill="1" applyBorder="1" applyAlignment="1">
      <alignment horizontal="center"/>
      <protection/>
    </xf>
    <xf numFmtId="4" fontId="21" fillId="52" borderId="19" xfId="226" applyNumberFormat="1" applyFont="1" applyFill="1" applyBorder="1" applyAlignment="1">
      <alignment horizontal="center"/>
      <protection/>
    </xf>
    <xf numFmtId="0" fontId="29" fillId="52" borderId="0" xfId="226" applyFont="1" applyFill="1">
      <alignment/>
      <protection/>
    </xf>
    <xf numFmtId="4" fontId="0" fillId="52" borderId="0" xfId="226" applyNumberFormat="1" applyFont="1" applyFill="1" applyAlignment="1">
      <alignment horizontal="center"/>
      <protection/>
    </xf>
    <xf numFmtId="4" fontId="82" fillId="52" borderId="0" xfId="226" applyNumberFormat="1" applyFont="1" applyFill="1">
      <alignment/>
      <protection/>
    </xf>
    <xf numFmtId="0" fontId="31" fillId="52" borderId="0" xfId="226" applyNumberFormat="1" applyFont="1" applyFill="1" applyAlignment="1" applyProtection="1">
      <alignment/>
      <protection/>
    </xf>
    <xf numFmtId="4" fontId="96" fillId="52" borderId="0" xfId="226" applyNumberFormat="1" applyFont="1" applyFill="1" applyAlignment="1" applyProtection="1">
      <alignment/>
      <protection/>
    </xf>
    <xf numFmtId="0" fontId="96" fillId="52" borderId="0" xfId="226" applyNumberFormat="1" applyFont="1" applyFill="1" applyAlignment="1" applyProtection="1">
      <alignment/>
      <protection/>
    </xf>
    <xf numFmtId="0" fontId="0" fillId="52" borderId="0" xfId="226" applyNumberFormat="1" applyFont="1" applyFill="1" applyAlignment="1" applyProtection="1">
      <alignment/>
      <protection/>
    </xf>
    <xf numFmtId="196" fontId="82" fillId="52" borderId="0" xfId="226" applyNumberFormat="1" applyFont="1" applyFill="1" applyAlignment="1">
      <alignment horizontal="center"/>
      <protection/>
    </xf>
    <xf numFmtId="196" fontId="0" fillId="52" borderId="0" xfId="226" applyNumberFormat="1" applyFont="1" applyFill="1" applyAlignment="1">
      <alignment horizontal="center"/>
      <protection/>
    </xf>
    <xf numFmtId="2" fontId="82" fillId="52" borderId="0" xfId="226" applyNumberFormat="1" applyFont="1" applyFill="1" applyAlignment="1">
      <alignment horizontal="center"/>
      <protection/>
    </xf>
    <xf numFmtId="2" fontId="0" fillId="52" borderId="0" xfId="226" applyNumberFormat="1" applyFont="1" applyFill="1" applyAlignment="1">
      <alignment horizontal="center"/>
      <protection/>
    </xf>
    <xf numFmtId="195" fontId="82" fillId="52" borderId="0" xfId="226" applyNumberFormat="1" applyFont="1" applyFill="1" applyAlignment="1">
      <alignment horizontal="center"/>
      <protection/>
    </xf>
    <xf numFmtId="195" fontId="0" fillId="52" borderId="0" xfId="226" applyNumberFormat="1" applyFont="1" applyFill="1" applyAlignment="1">
      <alignment horizontal="center"/>
      <protection/>
    </xf>
    <xf numFmtId="49" fontId="0" fillId="0" borderId="0" xfId="208" applyNumberFormat="1" applyFont="1" applyFill="1" applyAlignment="1" applyProtection="1">
      <alignment/>
      <protection/>
    </xf>
    <xf numFmtId="0" fontId="0" fillId="0" borderId="0" xfId="208" applyNumberFormat="1" applyFont="1" applyFill="1" applyAlignment="1" applyProtection="1">
      <alignment/>
      <protection/>
    </xf>
    <xf numFmtId="49" fontId="4" fillId="0" borderId="0" xfId="208" applyNumberFormat="1" applyFont="1" applyFill="1" applyAlignment="1" applyProtection="1">
      <alignment/>
      <protection/>
    </xf>
    <xf numFmtId="0" fontId="4" fillId="0" borderId="0" xfId="208" applyNumberFormat="1" applyFont="1" applyFill="1" applyAlignment="1" applyProtection="1">
      <alignment/>
      <protection/>
    </xf>
    <xf numFmtId="0" fontId="0" fillId="0" borderId="0" xfId="208" applyNumberFormat="1" applyFont="1" applyFill="1" applyAlignment="1" applyProtection="1">
      <alignment horizontal="left" vertical="center" wrapText="1"/>
      <protection/>
    </xf>
    <xf numFmtId="193" fontId="0" fillId="0" borderId="0" xfId="208" applyNumberFormat="1" applyFont="1" applyFill="1" applyAlignment="1" applyProtection="1">
      <alignment/>
      <protection/>
    </xf>
    <xf numFmtId="0" fontId="0" fillId="0" borderId="0" xfId="208" applyFont="1" applyFill="1">
      <alignment/>
      <protection/>
    </xf>
    <xf numFmtId="49" fontId="74" fillId="0" borderId="0" xfId="208" applyNumberFormat="1" applyFont="1" applyFill="1" applyBorder="1" applyAlignment="1" applyProtection="1">
      <alignment horizontal="center"/>
      <protection/>
    </xf>
    <xf numFmtId="0" fontId="21" fillId="0" borderId="0" xfId="208" applyNumberFormat="1" applyFont="1" applyFill="1" applyBorder="1" applyAlignment="1" applyProtection="1">
      <alignment horizontal="center"/>
      <protection/>
    </xf>
    <xf numFmtId="49" fontId="21" fillId="0" borderId="0" xfId="208" applyNumberFormat="1" applyFont="1" applyFill="1" applyBorder="1" applyAlignment="1">
      <alignment horizontal="center"/>
      <protection/>
    </xf>
    <xf numFmtId="0" fontId="21" fillId="0" borderId="0" xfId="208" applyFont="1" applyFill="1" applyBorder="1" applyAlignment="1">
      <alignment horizontal="center"/>
      <protection/>
    </xf>
    <xf numFmtId="0" fontId="29" fillId="0" borderId="0" xfId="208" applyFont="1" applyFill="1" applyBorder="1" applyAlignment="1">
      <alignment horizontal="left" vertical="center" wrapText="1"/>
      <protection/>
    </xf>
    <xf numFmtId="0" fontId="29" fillId="0" borderId="0" xfId="208" applyFont="1" applyFill="1" applyBorder="1" applyAlignment="1">
      <alignment horizontal="center"/>
      <protection/>
    </xf>
    <xf numFmtId="0" fontId="21" fillId="0" borderId="0" xfId="208" applyNumberFormat="1" applyFont="1" applyFill="1" applyBorder="1" applyAlignment="1" applyProtection="1">
      <alignment horizontal="center" vertical="top"/>
      <protection/>
    </xf>
    <xf numFmtId="193" fontId="21" fillId="0" borderId="0" xfId="208" applyNumberFormat="1" applyFont="1" applyFill="1" applyBorder="1" applyAlignment="1" applyProtection="1">
      <alignment horizontal="center" vertical="top"/>
      <protection/>
    </xf>
    <xf numFmtId="4" fontId="0" fillId="0" borderId="0" xfId="208" applyNumberFormat="1" applyFont="1" applyFill="1" applyAlignment="1" applyProtection="1">
      <alignment horizontal="center"/>
      <protection/>
    </xf>
    <xf numFmtId="194" fontId="0" fillId="0" borderId="0" xfId="208" applyNumberFormat="1" applyFont="1" applyFill="1" applyAlignment="1" applyProtection="1">
      <alignment horizontal="center"/>
      <protection/>
    </xf>
    <xf numFmtId="0" fontId="0" fillId="0" borderId="0" xfId="208" applyFont="1" applyFill="1" applyBorder="1" applyAlignment="1">
      <alignment horizontal="center"/>
      <protection/>
    </xf>
    <xf numFmtId="194" fontId="29" fillId="0" borderId="0" xfId="208" applyNumberFormat="1" applyFont="1" applyFill="1" applyBorder="1" applyAlignment="1" applyProtection="1">
      <alignment horizontal="center" vertical="center"/>
      <protection/>
    </xf>
    <xf numFmtId="49" fontId="21" fillId="0" borderId="18" xfId="208" applyNumberFormat="1" applyFont="1" applyFill="1" applyBorder="1" applyAlignment="1" applyProtection="1">
      <alignment horizontal="center"/>
      <protection/>
    </xf>
    <xf numFmtId="0" fontId="21" fillId="0" borderId="18" xfId="208" applyNumberFormat="1" applyFont="1" applyFill="1" applyBorder="1" applyAlignment="1" applyProtection="1">
      <alignment horizontal="center"/>
      <protection/>
    </xf>
    <xf numFmtId="49" fontId="21" fillId="0" borderId="18" xfId="208" applyNumberFormat="1" applyFont="1" applyFill="1" applyBorder="1" applyAlignment="1">
      <alignment horizontal="center"/>
      <protection/>
    </xf>
    <xf numFmtId="0" fontId="21" fillId="0" borderId="18" xfId="208" applyFont="1" applyFill="1" applyBorder="1" applyAlignment="1">
      <alignment horizontal="center"/>
      <protection/>
    </xf>
    <xf numFmtId="49" fontId="21" fillId="0" borderId="19" xfId="208" applyNumberFormat="1" applyFont="1" applyFill="1" applyBorder="1" applyAlignment="1" applyProtection="1">
      <alignment horizontal="center" vertical="center" wrapText="1"/>
      <protection/>
    </xf>
    <xf numFmtId="49" fontId="21" fillId="52" borderId="19" xfId="208" applyNumberFormat="1" applyFont="1" applyFill="1" applyBorder="1" applyAlignment="1" applyProtection="1">
      <alignment horizontal="center" vertical="center" wrapText="1"/>
      <protection/>
    </xf>
    <xf numFmtId="0" fontId="21" fillId="0" borderId="19" xfId="208" applyNumberFormat="1" applyFont="1" applyFill="1" applyBorder="1" applyAlignment="1" applyProtection="1">
      <alignment horizontal="center" vertical="center" wrapText="1"/>
      <protection/>
    </xf>
    <xf numFmtId="0" fontId="21" fillId="0" borderId="19" xfId="208" applyFont="1" applyBorder="1" applyAlignment="1">
      <alignment horizontal="center" vertical="center" wrapText="1"/>
      <protection/>
    </xf>
    <xf numFmtId="193" fontId="21" fillId="0" borderId="19" xfId="208" applyNumberFormat="1" applyFont="1" applyBorder="1" applyAlignment="1">
      <alignment horizontal="center" vertical="center" wrapText="1"/>
      <protection/>
    </xf>
    <xf numFmtId="4" fontId="21" fillId="0" borderId="19" xfId="208" applyNumberFormat="1" applyFont="1" applyFill="1" applyBorder="1" applyAlignment="1">
      <alignment horizontal="center" vertical="center" wrapText="1"/>
      <protection/>
    </xf>
    <xf numFmtId="194" fontId="21" fillId="52" borderId="19" xfId="208" applyNumberFormat="1" applyFont="1" applyFill="1" applyBorder="1" applyAlignment="1">
      <alignment horizontal="center" vertical="center" wrapText="1"/>
      <protection/>
    </xf>
    <xf numFmtId="49" fontId="21" fillId="45" borderId="19" xfId="208" applyNumberFormat="1" applyFont="1" applyFill="1" applyBorder="1" applyAlignment="1" applyProtection="1">
      <alignment horizontal="center" vertical="center" wrapText="1"/>
      <protection/>
    </xf>
    <xf numFmtId="0" fontId="21" fillId="45" borderId="19" xfId="208" applyNumberFormat="1" applyFont="1" applyFill="1" applyBorder="1" applyAlignment="1" applyProtection="1">
      <alignment horizontal="center" vertical="center" wrapText="1"/>
      <protection/>
    </xf>
    <xf numFmtId="0" fontId="21" fillId="45" borderId="19" xfId="208" applyFont="1" applyFill="1" applyBorder="1" applyAlignment="1">
      <alignment horizontal="center" vertical="center" wrapText="1"/>
      <protection/>
    </xf>
    <xf numFmtId="193" fontId="21" fillId="45" borderId="19" xfId="208" applyNumberFormat="1" applyFont="1" applyFill="1" applyBorder="1" applyAlignment="1">
      <alignment horizontal="center" vertical="center" wrapText="1"/>
      <protection/>
    </xf>
    <xf numFmtId="4" fontId="21" fillId="45" borderId="19" xfId="208" applyNumberFormat="1" applyFont="1" applyFill="1" applyBorder="1" applyAlignment="1">
      <alignment horizontal="center" vertical="center" wrapText="1"/>
      <protection/>
    </xf>
    <xf numFmtId="194" fontId="21" fillId="45" borderId="19" xfId="208" applyNumberFormat="1" applyFont="1" applyFill="1" applyBorder="1" applyAlignment="1">
      <alignment horizontal="center" vertical="center" wrapText="1"/>
      <protection/>
    </xf>
    <xf numFmtId="49" fontId="21" fillId="52" borderId="19" xfId="208" applyNumberFormat="1" applyFont="1" applyFill="1" applyBorder="1" applyAlignment="1" applyProtection="1">
      <alignment horizontal="center" vertical="top" wrapText="1"/>
      <protection/>
    </xf>
    <xf numFmtId="0" fontId="21" fillId="52" borderId="19" xfId="208" applyNumberFormat="1" applyFont="1" applyFill="1" applyBorder="1" applyAlignment="1" applyProtection="1">
      <alignment horizontal="center" vertical="top" wrapText="1"/>
      <protection/>
    </xf>
    <xf numFmtId="0" fontId="21" fillId="52" borderId="19" xfId="208" applyFont="1" applyFill="1" applyBorder="1" applyAlignment="1">
      <alignment horizontal="center" vertical="center" wrapText="1"/>
      <protection/>
    </xf>
    <xf numFmtId="193" fontId="21" fillId="52" borderId="19" xfId="208" applyNumberFormat="1" applyFont="1" applyFill="1" applyBorder="1" applyAlignment="1">
      <alignment horizontal="center" vertical="center" wrapText="1"/>
      <protection/>
    </xf>
    <xf numFmtId="4" fontId="21" fillId="52" borderId="19" xfId="208" applyNumberFormat="1" applyFont="1" applyFill="1" applyBorder="1" applyAlignment="1">
      <alignment horizontal="center" vertical="center" wrapText="1"/>
      <protection/>
    </xf>
    <xf numFmtId="0" fontId="0" fillId="52" borderId="0" xfId="208" applyFont="1" applyFill="1">
      <alignment/>
      <protection/>
    </xf>
    <xf numFmtId="0" fontId="29" fillId="0" borderId="19" xfId="208" applyFont="1" applyBorder="1" applyAlignment="1">
      <alignment horizontal="left" vertical="center" wrapText="1"/>
      <protection/>
    </xf>
    <xf numFmtId="0" fontId="29" fillId="0" borderId="19" xfId="208" applyFont="1" applyBorder="1" applyAlignment="1">
      <alignment horizontal="center" vertical="center" wrapText="1"/>
      <protection/>
    </xf>
    <xf numFmtId="193" fontId="29" fillId="0" borderId="19" xfId="208" applyNumberFormat="1" applyFont="1" applyBorder="1" applyAlignment="1">
      <alignment horizontal="center" vertical="center" wrapText="1"/>
      <protection/>
    </xf>
    <xf numFmtId="4" fontId="29" fillId="0" borderId="19" xfId="208" applyNumberFormat="1" applyFont="1" applyFill="1" applyBorder="1" applyAlignment="1">
      <alignment horizontal="center" vertical="center" wrapText="1"/>
      <protection/>
    </xf>
    <xf numFmtId="49" fontId="21" fillId="45" borderId="19" xfId="208" applyNumberFormat="1" applyFont="1" applyFill="1" applyBorder="1" applyAlignment="1" applyProtection="1">
      <alignment horizontal="center" vertical="center"/>
      <protection/>
    </xf>
    <xf numFmtId="0" fontId="21" fillId="45" borderId="19" xfId="208" applyNumberFormat="1" applyFont="1" applyFill="1" applyBorder="1" applyAlignment="1" applyProtection="1">
      <alignment/>
      <protection/>
    </xf>
    <xf numFmtId="49" fontId="21" fillId="45" borderId="19" xfId="208" applyNumberFormat="1" applyFont="1" applyFill="1" applyBorder="1" applyAlignment="1" applyProtection="1">
      <alignment/>
      <protection/>
    </xf>
    <xf numFmtId="193" fontId="29" fillId="45" borderId="19" xfId="189" applyNumberFormat="1" applyFont="1" applyFill="1" applyBorder="1" applyAlignment="1">
      <alignment horizontal="left" vertical="center" wrapText="1"/>
      <protection/>
    </xf>
    <xf numFmtId="4" fontId="29" fillId="45" borderId="19" xfId="189" applyNumberFormat="1" applyFont="1" applyFill="1" applyBorder="1" applyAlignment="1">
      <alignment horizontal="center" vertical="center"/>
      <protection/>
    </xf>
    <xf numFmtId="193" fontId="29" fillId="45" borderId="19" xfId="189" applyNumberFormat="1" applyFont="1" applyFill="1" applyBorder="1" applyAlignment="1">
      <alignment horizontal="center" vertical="center"/>
      <protection/>
    </xf>
    <xf numFmtId="4" fontId="21" fillId="45" borderId="19" xfId="189" applyNumberFormat="1" applyFont="1" applyFill="1" applyBorder="1" applyAlignment="1">
      <alignment horizontal="center" vertical="center"/>
      <protection/>
    </xf>
    <xf numFmtId="194" fontId="29" fillId="45" borderId="19" xfId="189" applyNumberFormat="1" applyFont="1" applyFill="1" applyBorder="1" applyAlignment="1">
      <alignment horizontal="center" vertical="center"/>
      <protection/>
    </xf>
    <xf numFmtId="4" fontId="0" fillId="0" borderId="0" xfId="208" applyNumberFormat="1" applyFont="1" applyFill="1">
      <alignment/>
      <protection/>
    </xf>
    <xf numFmtId="193" fontId="29" fillId="52" borderId="19" xfId="189" applyNumberFormat="1" applyFont="1" applyFill="1" applyBorder="1" applyAlignment="1">
      <alignment horizontal="left" vertical="center" wrapText="1"/>
      <protection/>
    </xf>
    <xf numFmtId="193" fontId="29" fillId="52" borderId="19" xfId="189" applyNumberFormat="1" applyFont="1" applyFill="1" applyBorder="1" applyAlignment="1">
      <alignment horizontal="center" vertical="center"/>
      <protection/>
    </xf>
    <xf numFmtId="4" fontId="21" fillId="52" borderId="19" xfId="189" applyNumberFormat="1" applyFont="1" applyFill="1" applyBorder="1" applyAlignment="1">
      <alignment horizontal="center" vertical="center"/>
      <protection/>
    </xf>
    <xf numFmtId="194" fontId="29" fillId="52" borderId="19" xfId="189" applyNumberFormat="1" applyFont="1" applyFill="1" applyBorder="1" applyAlignment="1">
      <alignment horizontal="center" vertical="center"/>
      <protection/>
    </xf>
    <xf numFmtId="0" fontId="29" fillId="0" borderId="19" xfId="246" applyFont="1" applyFill="1" applyBorder="1" applyAlignment="1">
      <alignment horizontal="left" vertical="center" wrapText="1"/>
      <protection/>
    </xf>
    <xf numFmtId="1" fontId="29" fillId="0" borderId="19" xfId="189" applyNumberFormat="1" applyFont="1" applyFill="1" applyBorder="1" applyAlignment="1">
      <alignment horizontal="center" vertical="center"/>
      <protection/>
    </xf>
    <xf numFmtId="193" fontId="29" fillId="0" borderId="19" xfId="189" applyNumberFormat="1" applyFont="1" applyFill="1" applyBorder="1" applyAlignment="1">
      <alignment horizontal="center" vertical="center"/>
      <protection/>
    </xf>
    <xf numFmtId="194" fontId="29" fillId="0" borderId="19" xfId="208" applyNumberFormat="1" applyFont="1" applyFill="1" applyBorder="1" applyAlignment="1">
      <alignment horizontal="center" vertical="center" wrapText="1"/>
      <protection/>
    </xf>
    <xf numFmtId="194" fontId="0" fillId="0" borderId="19" xfId="208" applyNumberFormat="1" applyFont="1" applyFill="1" applyBorder="1" applyAlignment="1" applyProtection="1">
      <alignment horizontal="center"/>
      <protection/>
    </xf>
    <xf numFmtId="0" fontId="29" fillId="0" borderId="19" xfId="208" applyFont="1" applyFill="1" applyBorder="1" applyAlignment="1">
      <alignment horizontal="left" vertical="center" wrapText="1"/>
      <protection/>
    </xf>
    <xf numFmtId="0" fontId="29" fillId="52" borderId="19" xfId="208" applyFont="1" applyFill="1" applyBorder="1" applyAlignment="1">
      <alignment horizontal="left" vertical="center" wrapText="1"/>
      <protection/>
    </xf>
    <xf numFmtId="1" fontId="29" fillId="52" borderId="19" xfId="189" applyNumberFormat="1" applyFont="1" applyFill="1" applyBorder="1" applyAlignment="1">
      <alignment horizontal="center" vertical="center"/>
      <protection/>
    </xf>
    <xf numFmtId="194" fontId="29" fillId="52" borderId="19" xfId="208" applyNumberFormat="1" applyFont="1" applyFill="1" applyBorder="1" applyAlignment="1">
      <alignment horizontal="center" vertical="center" wrapText="1"/>
      <protection/>
    </xf>
    <xf numFmtId="0" fontId="29" fillId="52" borderId="19" xfId="246" applyFont="1" applyFill="1" applyBorder="1" applyAlignment="1">
      <alignment horizontal="left" vertical="center" wrapText="1"/>
      <protection/>
    </xf>
    <xf numFmtId="4" fontId="29" fillId="52" borderId="19" xfId="208" applyNumberFormat="1" applyFont="1" applyFill="1" applyBorder="1" applyAlignment="1">
      <alignment horizontal="center" vertical="center" wrapText="1"/>
      <protection/>
    </xf>
    <xf numFmtId="0" fontId="29" fillId="52" borderId="19" xfId="245" applyFont="1" applyFill="1" applyBorder="1" applyAlignment="1">
      <alignment horizontal="left" vertical="top" wrapText="1"/>
      <protection/>
    </xf>
    <xf numFmtId="0" fontId="29" fillId="52" borderId="19" xfId="208" applyFont="1" applyFill="1" applyBorder="1" applyAlignment="1">
      <alignment horizontal="center" vertical="center"/>
      <protection/>
    </xf>
    <xf numFmtId="193" fontId="29" fillId="52" borderId="19" xfId="208" applyNumberFormat="1" applyFont="1" applyFill="1" applyBorder="1" applyAlignment="1">
      <alignment horizontal="center" vertical="center"/>
      <protection/>
    </xf>
    <xf numFmtId="0" fontId="29" fillId="52" borderId="19" xfId="208" applyFont="1" applyFill="1" applyBorder="1" applyAlignment="1">
      <alignment horizontal="left" vertical="top" wrapText="1"/>
      <protection/>
    </xf>
    <xf numFmtId="0" fontId="29" fillId="52" borderId="19" xfId="208" applyNumberFormat="1" applyFont="1" applyFill="1" applyBorder="1" applyAlignment="1" applyProtection="1">
      <alignment/>
      <protection/>
    </xf>
    <xf numFmtId="193" fontId="29" fillId="52" borderId="19" xfId="208" applyNumberFormat="1" applyFont="1" applyFill="1" applyBorder="1" applyAlignment="1" applyProtection="1">
      <alignment/>
      <protection/>
    </xf>
    <xf numFmtId="202" fontId="21" fillId="52" borderId="19" xfId="189" applyNumberFormat="1" applyFont="1" applyFill="1" applyBorder="1" applyAlignment="1">
      <alignment horizontal="center" vertical="center"/>
      <protection/>
    </xf>
    <xf numFmtId="194" fontId="29" fillId="52" borderId="19" xfId="208" applyNumberFormat="1" applyFont="1" applyFill="1" applyBorder="1" applyAlignment="1" applyProtection="1">
      <alignment horizontal="center"/>
      <protection/>
    </xf>
    <xf numFmtId="202" fontId="29" fillId="52" borderId="19" xfId="189" applyNumberFormat="1" applyFont="1" applyFill="1" applyBorder="1" applyAlignment="1">
      <alignment horizontal="center" vertical="center"/>
      <protection/>
    </xf>
    <xf numFmtId="0" fontId="29" fillId="52" borderId="19" xfId="208" applyFont="1" applyFill="1" applyBorder="1" applyAlignment="1">
      <alignment horizontal="center" vertical="center" wrapText="1"/>
      <protection/>
    </xf>
    <xf numFmtId="193" fontId="29" fillId="52" borderId="19" xfId="208" applyNumberFormat="1" applyFont="1" applyFill="1" applyBorder="1" applyAlignment="1">
      <alignment horizontal="center" vertical="center" wrapText="1"/>
      <protection/>
    </xf>
    <xf numFmtId="0" fontId="29" fillId="52" borderId="19" xfId="208" applyFont="1" applyFill="1" applyBorder="1" applyAlignment="1">
      <alignment wrapText="1"/>
      <protection/>
    </xf>
    <xf numFmtId="0" fontId="21" fillId="52" borderId="19" xfId="208" applyFont="1" applyFill="1" applyBorder="1" applyAlignment="1">
      <alignment horizontal="left" vertical="center" wrapText="1"/>
      <protection/>
    </xf>
    <xf numFmtId="4" fontId="0" fillId="52" borderId="0" xfId="208" applyNumberFormat="1" applyFont="1" applyFill="1">
      <alignment/>
      <protection/>
    </xf>
    <xf numFmtId="4" fontId="29" fillId="54" borderId="19" xfId="189" applyNumberFormat="1" applyFont="1" applyFill="1" applyBorder="1" applyAlignment="1">
      <alignment horizontal="center" vertical="center"/>
      <protection/>
    </xf>
    <xf numFmtId="0" fontId="29" fillId="54" borderId="19" xfId="208" applyFont="1" applyFill="1" applyBorder="1" applyAlignment="1">
      <alignment horizontal="left" wrapText="1"/>
      <protection/>
    </xf>
    <xf numFmtId="0" fontId="29" fillId="52" borderId="19" xfId="208" applyFont="1" applyFill="1" applyBorder="1" applyAlignment="1">
      <alignment vertical="top" wrapText="1"/>
      <protection/>
    </xf>
    <xf numFmtId="199" fontId="29" fillId="52" borderId="19" xfId="208" applyNumberFormat="1" applyFont="1" applyFill="1" applyBorder="1" applyAlignment="1">
      <alignment horizontal="center" vertical="center" wrapText="1"/>
      <protection/>
    </xf>
    <xf numFmtId="194" fontId="29" fillId="0" borderId="19" xfId="189" applyNumberFormat="1" applyFont="1" applyFill="1" applyBorder="1" applyAlignment="1">
      <alignment horizontal="center" vertical="center"/>
      <protection/>
    </xf>
    <xf numFmtId="193" fontId="29" fillId="54" borderId="19" xfId="189" applyNumberFormat="1" applyFont="1" applyFill="1" applyBorder="1" applyAlignment="1">
      <alignment horizontal="left" vertical="center" wrapText="1"/>
      <protection/>
    </xf>
    <xf numFmtId="193" fontId="29" fillId="54" borderId="19" xfId="189" applyNumberFormat="1" applyFont="1" applyFill="1" applyBorder="1" applyAlignment="1">
      <alignment horizontal="center" vertical="center"/>
      <protection/>
    </xf>
    <xf numFmtId="4" fontId="21" fillId="54" borderId="19" xfId="189" applyNumberFormat="1" applyFont="1" applyFill="1" applyBorder="1" applyAlignment="1">
      <alignment horizontal="center" vertical="center"/>
      <protection/>
    </xf>
    <xf numFmtId="194" fontId="29" fillId="54" borderId="19" xfId="189" applyNumberFormat="1" applyFont="1" applyFill="1" applyBorder="1" applyAlignment="1">
      <alignment horizontal="center" vertical="center"/>
      <protection/>
    </xf>
    <xf numFmtId="0" fontId="0" fillId="54" borderId="0" xfId="208" applyFont="1" applyFill="1">
      <alignment/>
      <protection/>
    </xf>
    <xf numFmtId="0" fontId="29" fillId="54" borderId="19" xfId="208" applyFont="1" applyFill="1" applyBorder="1" applyAlignment="1">
      <alignment horizontal="left" vertical="center" wrapText="1"/>
      <protection/>
    </xf>
    <xf numFmtId="0" fontId="29" fillId="54" borderId="19" xfId="208" applyNumberFormat="1" applyFont="1" applyFill="1" applyBorder="1" applyAlignment="1">
      <alignment horizontal="center" vertical="center" wrapText="1"/>
      <protection/>
    </xf>
    <xf numFmtId="4" fontId="29" fillId="54" borderId="19" xfId="208" applyNumberFormat="1" applyFont="1" applyFill="1" applyBorder="1" applyAlignment="1">
      <alignment horizontal="center" vertical="center" wrapText="1"/>
      <protection/>
    </xf>
    <xf numFmtId="193" fontId="29" fillId="54" borderId="19" xfId="208" applyNumberFormat="1" applyFont="1" applyFill="1" applyBorder="1" applyAlignment="1">
      <alignment horizontal="center" vertical="center" wrapText="1"/>
      <protection/>
    </xf>
    <xf numFmtId="194" fontId="29" fillId="54" borderId="19" xfId="208" applyNumberFormat="1" applyFont="1" applyFill="1" applyBorder="1" applyAlignment="1">
      <alignment horizontal="center" vertical="center" wrapText="1"/>
      <protection/>
    </xf>
    <xf numFmtId="193" fontId="29" fillId="0" borderId="19" xfId="189" applyNumberFormat="1" applyFont="1" applyFill="1" applyBorder="1" applyAlignment="1">
      <alignment horizontal="left" vertical="center" wrapText="1"/>
      <protection/>
    </xf>
    <xf numFmtId="0" fontId="21" fillId="0" borderId="19" xfId="208" applyFont="1" applyBorder="1" applyAlignment="1">
      <alignment horizontal="left" vertical="center" wrapText="1"/>
      <protection/>
    </xf>
    <xf numFmtId="0" fontId="21" fillId="0" borderId="19" xfId="208" applyNumberFormat="1" applyFont="1" applyBorder="1" applyAlignment="1">
      <alignment horizontal="center" vertical="center" wrapText="1"/>
      <protection/>
    </xf>
    <xf numFmtId="4" fontId="21" fillId="0" borderId="19" xfId="208" applyNumberFormat="1" applyFont="1" applyBorder="1" applyAlignment="1">
      <alignment horizontal="center" vertical="center" wrapText="1"/>
      <protection/>
    </xf>
    <xf numFmtId="0" fontId="21" fillId="52" borderId="19" xfId="208" applyNumberFormat="1" applyFont="1" applyFill="1" applyBorder="1" applyAlignment="1">
      <alignment horizontal="center" vertical="center" wrapText="1"/>
      <protection/>
    </xf>
    <xf numFmtId="0" fontId="21" fillId="52" borderId="19" xfId="251" applyFont="1" applyFill="1" applyBorder="1" applyAlignment="1">
      <alignment horizontal="left" vertical="center" wrapText="1"/>
      <protection/>
    </xf>
    <xf numFmtId="0" fontId="29" fillId="52" borderId="19" xfId="251" applyFont="1" applyFill="1" applyBorder="1" applyAlignment="1">
      <alignment horizontal="left" vertical="center" wrapText="1"/>
      <protection/>
    </xf>
    <xf numFmtId="193" fontId="21" fillId="45" borderId="19" xfId="208" applyNumberFormat="1" applyFont="1" applyFill="1" applyBorder="1" applyAlignment="1" applyProtection="1">
      <alignment horizontal="center" vertical="center"/>
      <protection/>
    </xf>
    <xf numFmtId="4" fontId="21" fillId="45" borderId="19" xfId="208" applyNumberFormat="1" applyFont="1" applyFill="1" applyBorder="1" applyAlignment="1" applyProtection="1">
      <alignment horizontal="center" vertical="center"/>
      <protection/>
    </xf>
    <xf numFmtId="194" fontId="21" fillId="45" borderId="19" xfId="208" applyNumberFormat="1" applyFont="1" applyFill="1" applyBorder="1" applyAlignment="1" applyProtection="1">
      <alignment horizontal="center" vertical="center"/>
      <protection/>
    </xf>
    <xf numFmtId="197" fontId="29" fillId="52" borderId="19" xfId="189" applyNumberFormat="1" applyFont="1" applyFill="1" applyBorder="1" applyAlignment="1">
      <alignment horizontal="center" vertical="center"/>
      <protection/>
    </xf>
    <xf numFmtId="194" fontId="29" fillId="52" borderId="19" xfId="208" applyNumberFormat="1" applyFont="1" applyFill="1" applyBorder="1" applyAlignment="1" applyProtection="1">
      <alignment horizontal="center" vertical="center"/>
      <protection/>
    </xf>
    <xf numFmtId="0" fontId="29" fillId="52" borderId="19" xfId="208" applyNumberFormat="1" applyFont="1" applyFill="1" applyBorder="1" applyAlignment="1" applyProtection="1">
      <alignment horizontal="center"/>
      <protection/>
    </xf>
    <xf numFmtId="4" fontId="29" fillId="52" borderId="19" xfId="208" applyNumberFormat="1" applyFont="1" applyFill="1" applyBorder="1" applyAlignment="1" applyProtection="1">
      <alignment horizontal="center"/>
      <protection/>
    </xf>
    <xf numFmtId="193" fontId="29" fillId="52" borderId="19" xfId="208" applyNumberFormat="1" applyFont="1" applyFill="1" applyBorder="1" applyAlignment="1" applyProtection="1">
      <alignment horizontal="center"/>
      <protection/>
    </xf>
    <xf numFmtId="0" fontId="0" fillId="0" borderId="0" xfId="208" applyFont="1" applyFill="1" applyBorder="1">
      <alignment/>
      <protection/>
    </xf>
    <xf numFmtId="0" fontId="0" fillId="17" borderId="0" xfId="208" applyFont="1" applyFill="1">
      <alignment/>
      <protection/>
    </xf>
    <xf numFmtId="197" fontId="29" fillId="0" borderId="19" xfId="189" applyNumberFormat="1" applyFont="1" applyFill="1" applyBorder="1" applyAlignment="1">
      <alignment horizontal="center" vertical="center"/>
      <protection/>
    </xf>
    <xf numFmtId="194" fontId="29" fillId="0" borderId="19" xfId="208" applyNumberFormat="1" applyFont="1" applyFill="1" applyBorder="1" applyAlignment="1" applyProtection="1">
      <alignment horizontal="center" vertical="center"/>
      <protection/>
    </xf>
    <xf numFmtId="0" fontId="29" fillId="52" borderId="19" xfId="208" applyFont="1" applyFill="1" applyBorder="1" applyAlignment="1">
      <alignment vertical="center" wrapText="1"/>
      <protection/>
    </xf>
    <xf numFmtId="0" fontId="29" fillId="0" borderId="19" xfId="208" applyFont="1" applyFill="1" applyBorder="1" applyAlignment="1">
      <alignment vertical="center" wrapText="1"/>
      <protection/>
    </xf>
    <xf numFmtId="0" fontId="29" fillId="0" borderId="19" xfId="208" applyFont="1" applyFill="1" applyBorder="1" applyAlignment="1">
      <alignment horizontal="center" vertical="center" wrapText="1"/>
      <protection/>
    </xf>
    <xf numFmtId="0" fontId="29" fillId="52" borderId="19" xfId="252" applyFont="1" applyFill="1" applyBorder="1" applyAlignment="1">
      <alignment horizontal="left" vertical="top" wrapText="1"/>
      <protection/>
    </xf>
    <xf numFmtId="0" fontId="29" fillId="52" borderId="19" xfId="248" applyFont="1" applyFill="1" applyBorder="1" applyAlignment="1">
      <alignment horizontal="left" vertical="center" wrapText="1"/>
      <protection/>
    </xf>
    <xf numFmtId="4" fontId="29" fillId="52" borderId="19" xfId="208" applyNumberFormat="1" applyFont="1" applyFill="1" applyBorder="1" applyAlignment="1">
      <alignment horizontal="center" vertical="center"/>
      <protection/>
    </xf>
    <xf numFmtId="0" fontId="29" fillId="52" borderId="19" xfId="208" applyFont="1" applyFill="1" applyBorder="1">
      <alignment/>
      <protection/>
    </xf>
    <xf numFmtId="0" fontId="21" fillId="52" borderId="19" xfId="246" applyFont="1" applyFill="1" applyBorder="1" applyAlignment="1">
      <alignment horizontal="left" vertical="center" wrapText="1"/>
      <protection/>
    </xf>
    <xf numFmtId="0" fontId="0" fillId="52" borderId="0" xfId="208" applyFont="1" applyFill="1" applyBorder="1">
      <alignment/>
      <protection/>
    </xf>
    <xf numFmtId="0" fontId="21" fillId="0" borderId="19" xfId="246" applyFont="1" applyFill="1" applyBorder="1" applyAlignment="1">
      <alignment horizontal="left" vertical="center" wrapText="1"/>
      <protection/>
    </xf>
    <xf numFmtId="0" fontId="29" fillId="0" borderId="19" xfId="208" applyFont="1" applyFill="1" applyBorder="1" applyAlignment="1">
      <alignment wrapText="1"/>
      <protection/>
    </xf>
    <xf numFmtId="0" fontId="29" fillId="52" borderId="19" xfId="208" applyFont="1" applyFill="1" applyBorder="1" applyAlignment="1">
      <alignment horizontal="justify" vertical="center" wrapText="1"/>
      <protection/>
    </xf>
    <xf numFmtId="4" fontId="29" fillId="0" borderId="19" xfId="208" applyNumberFormat="1" applyFont="1" applyBorder="1" applyAlignment="1">
      <alignment horizontal="center" vertical="center" wrapText="1"/>
      <protection/>
    </xf>
    <xf numFmtId="49" fontId="21" fillId="0" borderId="19" xfId="208" applyNumberFormat="1" applyFont="1" applyFill="1" applyBorder="1" applyAlignment="1">
      <alignment horizontal="center" vertical="top" wrapText="1"/>
      <protection/>
    </xf>
    <xf numFmtId="0" fontId="21" fillId="0" borderId="19" xfId="208" applyFont="1" applyBorder="1" applyAlignment="1">
      <alignment horizontal="center" vertical="top" wrapText="1"/>
      <protection/>
    </xf>
    <xf numFmtId="0" fontId="29" fillId="0" borderId="19" xfId="189" applyNumberFormat="1" applyFont="1" applyFill="1" applyBorder="1" applyAlignment="1">
      <alignment horizontal="center" vertical="center"/>
      <protection/>
    </xf>
    <xf numFmtId="0" fontId="29" fillId="0" borderId="19" xfId="247" applyFont="1" applyFill="1" applyBorder="1" applyAlignment="1">
      <alignment horizontal="left" vertical="top" wrapText="1"/>
      <protection/>
    </xf>
    <xf numFmtId="0" fontId="29" fillId="52" borderId="19" xfId="247" applyFont="1" applyFill="1" applyBorder="1" applyAlignment="1">
      <alignment horizontal="left" vertical="top" wrapText="1"/>
      <protection/>
    </xf>
    <xf numFmtId="193" fontId="29" fillId="0" borderId="19" xfId="208" applyNumberFormat="1" applyFont="1" applyFill="1" applyBorder="1" applyAlignment="1">
      <alignment horizontal="center" vertical="center" wrapText="1"/>
      <protection/>
    </xf>
    <xf numFmtId="49" fontId="21" fillId="45" borderId="19" xfId="208" applyNumberFormat="1" applyFont="1" applyFill="1" applyBorder="1" applyAlignment="1">
      <alignment horizontal="center" vertical="top" wrapText="1"/>
      <protection/>
    </xf>
    <xf numFmtId="0" fontId="21" fillId="45" borderId="19" xfId="208" applyFont="1" applyFill="1" applyBorder="1" applyAlignment="1">
      <alignment horizontal="center" vertical="top" wrapText="1"/>
      <protection/>
    </xf>
    <xf numFmtId="0" fontId="29" fillId="45" borderId="19" xfId="208" applyFont="1" applyFill="1" applyBorder="1" applyAlignment="1">
      <alignment horizontal="left" vertical="center" wrapText="1"/>
      <protection/>
    </xf>
    <xf numFmtId="193" fontId="29" fillId="45" borderId="19" xfId="208" applyNumberFormat="1" applyFont="1" applyFill="1" applyBorder="1" applyAlignment="1">
      <alignment horizontal="left" vertical="center" wrapText="1"/>
      <protection/>
    </xf>
    <xf numFmtId="194" fontId="29" fillId="45" borderId="19" xfId="208" applyNumberFormat="1" applyFont="1" applyFill="1" applyBorder="1" applyAlignment="1">
      <alignment horizontal="left" vertical="center" wrapText="1"/>
      <protection/>
    </xf>
    <xf numFmtId="0" fontId="29" fillId="52" borderId="19" xfId="189" applyNumberFormat="1" applyFont="1" applyFill="1" applyBorder="1" applyAlignment="1">
      <alignment horizontal="center" vertical="center"/>
      <protection/>
    </xf>
    <xf numFmtId="4" fontId="21" fillId="45" borderId="19" xfId="189" applyNumberFormat="1" applyFont="1" applyFill="1" applyBorder="1" applyAlignment="1">
      <alignment horizontal="center" vertical="center" wrapText="1"/>
      <protection/>
    </xf>
    <xf numFmtId="194" fontId="29" fillId="45" borderId="19" xfId="189" applyNumberFormat="1" applyFont="1" applyFill="1" applyBorder="1" applyAlignment="1">
      <alignment horizontal="left" vertical="center" wrapText="1"/>
      <protection/>
    </xf>
    <xf numFmtId="0" fontId="29" fillId="0" borderId="0" xfId="208" applyFont="1" applyFill="1">
      <alignment/>
      <protection/>
    </xf>
    <xf numFmtId="4" fontId="21" fillId="52" borderId="19" xfId="189" applyNumberFormat="1" applyFont="1" applyFill="1" applyBorder="1" applyAlignment="1">
      <alignment horizontal="center" vertical="center" wrapText="1"/>
      <protection/>
    </xf>
    <xf numFmtId="194" fontId="29" fillId="52" borderId="19" xfId="189" applyNumberFormat="1" applyFont="1" applyFill="1" applyBorder="1" applyAlignment="1">
      <alignment horizontal="left" vertical="center" wrapText="1"/>
      <protection/>
    </xf>
    <xf numFmtId="1" fontId="29" fillId="52" borderId="19" xfId="208" applyNumberFormat="1" applyFont="1" applyFill="1" applyBorder="1" applyAlignment="1">
      <alignment horizontal="center" vertical="center" wrapText="1"/>
      <protection/>
    </xf>
    <xf numFmtId="0" fontId="29" fillId="0" borderId="19" xfId="208" applyFont="1" applyFill="1" applyBorder="1" applyAlignment="1">
      <alignment horizontal="left" vertical="top" wrapText="1"/>
      <protection/>
    </xf>
    <xf numFmtId="1" fontId="29" fillId="0" borderId="19" xfId="208" applyNumberFormat="1" applyFont="1" applyFill="1" applyBorder="1" applyAlignment="1">
      <alignment horizontal="center" vertical="center" wrapText="1"/>
      <protection/>
    </xf>
    <xf numFmtId="4" fontId="29" fillId="52" borderId="19" xfId="208" applyNumberFormat="1" applyFont="1" applyFill="1" applyBorder="1" applyAlignment="1">
      <alignment horizontal="left" vertical="top" wrapText="1"/>
      <protection/>
    </xf>
    <xf numFmtId="2" fontId="29" fillId="0" borderId="19" xfId="208" applyNumberFormat="1" applyFont="1" applyFill="1" applyBorder="1" applyAlignment="1">
      <alignment horizontal="center" vertical="center" wrapText="1"/>
      <protection/>
    </xf>
    <xf numFmtId="193" fontId="21" fillId="52" borderId="19" xfId="189" applyNumberFormat="1" applyFont="1" applyFill="1" applyBorder="1" applyAlignment="1">
      <alignment horizontal="left" vertical="center" wrapText="1"/>
      <protection/>
    </xf>
    <xf numFmtId="2" fontId="29" fillId="52" borderId="19" xfId="208" applyNumberFormat="1" applyFont="1" applyFill="1" applyBorder="1" applyAlignment="1">
      <alignment horizontal="center" vertical="center" wrapText="1"/>
      <protection/>
    </xf>
    <xf numFmtId="49" fontId="21" fillId="45" borderId="19" xfId="208" applyNumberFormat="1" applyFont="1" applyFill="1" applyBorder="1" applyAlignment="1" applyProtection="1">
      <alignment horizontal="center" vertical="top" wrapText="1"/>
      <protection/>
    </xf>
    <xf numFmtId="0" fontId="21" fillId="45" borderId="19" xfId="208" applyNumberFormat="1" applyFont="1" applyFill="1" applyBorder="1" applyAlignment="1" applyProtection="1">
      <alignment horizontal="center" vertical="top" wrapText="1"/>
      <protection/>
    </xf>
    <xf numFmtId="193" fontId="21" fillId="45" borderId="19" xfId="189" applyNumberFormat="1" applyFont="1" applyFill="1" applyBorder="1" applyAlignment="1">
      <alignment horizontal="center" vertical="center" wrapText="1"/>
      <protection/>
    </xf>
    <xf numFmtId="0" fontId="29" fillId="45" borderId="19" xfId="246" applyFont="1" applyFill="1" applyBorder="1" applyAlignment="1">
      <alignment horizontal="left" vertical="center" wrapText="1"/>
      <protection/>
    </xf>
    <xf numFmtId="197" fontId="29" fillId="45" borderId="19" xfId="189" applyNumberFormat="1" applyFont="1" applyFill="1" applyBorder="1" applyAlignment="1">
      <alignment horizontal="center" vertical="center"/>
      <protection/>
    </xf>
    <xf numFmtId="194" fontId="29" fillId="45" borderId="19" xfId="208" applyNumberFormat="1" applyFont="1" applyFill="1" applyBorder="1" applyAlignment="1" applyProtection="1">
      <alignment horizontal="center" vertical="center"/>
      <protection/>
    </xf>
    <xf numFmtId="49" fontId="21" fillId="0" borderId="19" xfId="208" applyNumberFormat="1" applyFont="1" applyFill="1" applyBorder="1" applyAlignment="1" applyProtection="1">
      <alignment horizontal="center" vertical="top" wrapText="1"/>
      <protection/>
    </xf>
    <xf numFmtId="193" fontId="50" fillId="44" borderId="19" xfId="208" applyNumberFormat="1" applyFont="1" applyFill="1" applyBorder="1" applyAlignment="1" applyProtection="1">
      <alignment horizontal="center"/>
      <protection/>
    </xf>
    <xf numFmtId="4" fontId="50" fillId="44" borderId="19" xfId="208" applyNumberFormat="1" applyFont="1" applyFill="1" applyBorder="1" applyAlignment="1" applyProtection="1">
      <alignment horizontal="center"/>
      <protection/>
    </xf>
    <xf numFmtId="194" fontId="50" fillId="44" borderId="19" xfId="208" applyNumberFormat="1" applyFont="1" applyFill="1" applyBorder="1" applyAlignment="1" applyProtection="1">
      <alignment/>
      <protection/>
    </xf>
    <xf numFmtId="49" fontId="50" fillId="0" borderId="0" xfId="208" applyNumberFormat="1" applyFont="1" applyFill="1" applyBorder="1" applyAlignment="1" applyProtection="1">
      <alignment horizontal="center"/>
      <protection/>
    </xf>
    <xf numFmtId="193" fontId="50" fillId="0" borderId="0" xfId="208" applyNumberFormat="1" applyFont="1" applyFill="1" applyBorder="1" applyAlignment="1" applyProtection="1">
      <alignment horizontal="center"/>
      <protection/>
    </xf>
    <xf numFmtId="4" fontId="50" fillId="0" borderId="0" xfId="208" applyNumberFormat="1" applyFont="1" applyFill="1" applyBorder="1" applyAlignment="1" applyProtection="1">
      <alignment horizontal="center"/>
      <protection/>
    </xf>
    <xf numFmtId="194" fontId="50" fillId="0" borderId="0" xfId="208" applyNumberFormat="1" applyFont="1" applyFill="1" applyBorder="1" applyAlignment="1" applyProtection="1">
      <alignment/>
      <protection/>
    </xf>
    <xf numFmtId="193" fontId="0" fillId="0" borderId="0" xfId="208" applyNumberFormat="1" applyFont="1" applyFill="1">
      <alignment/>
      <protection/>
    </xf>
    <xf numFmtId="49" fontId="30" fillId="0" borderId="0" xfId="208" applyNumberFormat="1" applyFont="1" applyFill="1" applyBorder="1" applyAlignment="1">
      <alignment horizontal="center" vertical="center" wrapText="1"/>
      <protection/>
    </xf>
    <xf numFmtId="4" fontId="21" fillId="0" borderId="0" xfId="208" applyNumberFormat="1" applyFont="1" applyFill="1" applyBorder="1" applyAlignment="1">
      <alignment horizontal="center" vertical="center"/>
      <protection/>
    </xf>
    <xf numFmtId="4" fontId="21" fillId="52" borderId="0" xfId="208" applyNumberFormat="1" applyFont="1" applyFill="1" applyBorder="1" applyAlignment="1">
      <alignment horizontal="center" vertical="center"/>
      <protection/>
    </xf>
    <xf numFmtId="193" fontId="21" fillId="52" borderId="0" xfId="208" applyNumberFormat="1" applyFont="1" applyFill="1" applyBorder="1" applyAlignment="1">
      <alignment horizontal="center" vertical="center"/>
      <protection/>
    </xf>
    <xf numFmtId="194" fontId="50" fillId="0" borderId="0" xfId="208" applyNumberFormat="1" applyFont="1" applyFill="1" applyAlignment="1" applyProtection="1">
      <alignment/>
      <protection/>
    </xf>
    <xf numFmtId="0" fontId="29" fillId="0" borderId="0" xfId="208" applyFont="1" applyFill="1" applyAlignment="1">
      <alignment vertical="center"/>
      <protection/>
    </xf>
    <xf numFmtId="0" fontId="0" fillId="52" borderId="20" xfId="226" applyFont="1" applyFill="1" applyBorder="1" applyAlignment="1">
      <alignment horizontal="center" vertical="top"/>
      <protection/>
    </xf>
    <xf numFmtId="0" fontId="0" fillId="52" borderId="23" xfId="226" applyFont="1" applyFill="1" applyBorder="1" applyAlignment="1">
      <alignment horizontal="center" vertical="top"/>
      <protection/>
    </xf>
    <xf numFmtId="0" fontId="0" fillId="52" borderId="19" xfId="226" applyFont="1" applyFill="1" applyBorder="1" applyAlignment="1">
      <alignment horizontal="center" vertical="top"/>
      <protection/>
    </xf>
    <xf numFmtId="0" fontId="31" fillId="52" borderId="0" xfId="226" applyFont="1" applyFill="1" applyAlignment="1">
      <alignment horizontal="left" vertical="top" wrapText="1"/>
      <protection/>
    </xf>
    <xf numFmtId="0" fontId="0" fillId="52" borderId="0" xfId="226" applyFont="1" applyFill="1" applyAlignment="1">
      <alignment horizontal="center" wrapText="1"/>
      <protection/>
    </xf>
    <xf numFmtId="195" fontId="44" fillId="52" borderId="0" xfId="226" applyNumberFormat="1" applyFont="1" applyFill="1" applyAlignment="1">
      <alignment horizontal="left" wrapText="1"/>
      <protection/>
    </xf>
    <xf numFmtId="0" fontId="82" fillId="52" borderId="0" xfId="226" applyFont="1" applyFill="1" applyAlignment="1">
      <alignment horizontal="left"/>
      <protection/>
    </xf>
    <xf numFmtId="0" fontId="83" fillId="52" borderId="0" xfId="226" applyFont="1" applyFill="1" applyBorder="1" applyAlignment="1">
      <alignment horizontal="center" wrapText="1"/>
      <protection/>
    </xf>
    <xf numFmtId="0" fontId="30" fillId="52" borderId="19" xfId="226" applyFont="1" applyFill="1" applyBorder="1" applyAlignment="1">
      <alignment horizontal="center" vertical="center" wrapText="1"/>
      <protection/>
    </xf>
    <xf numFmtId="0" fontId="28" fillId="52" borderId="19" xfId="226" applyFont="1" applyFill="1" applyBorder="1" applyAlignment="1">
      <alignment horizontal="center" vertical="center" wrapText="1"/>
      <protection/>
    </xf>
    <xf numFmtId="0" fontId="21" fillId="52" borderId="19" xfId="226" applyNumberFormat="1" applyFont="1" applyFill="1" applyBorder="1" applyAlignment="1" applyProtection="1">
      <alignment horizontal="center" vertical="center" wrapText="1"/>
      <protection/>
    </xf>
    <xf numFmtId="4" fontId="43" fillId="52" borderId="19" xfId="226" applyNumberFormat="1" applyFont="1" applyFill="1" applyBorder="1" applyAlignment="1">
      <alignment horizontal="center" vertical="center" wrapText="1"/>
      <protection/>
    </xf>
    <xf numFmtId="195" fontId="30" fillId="52" borderId="19" xfId="226" applyNumberFormat="1" applyFont="1" applyFill="1" applyBorder="1" applyAlignment="1">
      <alignment horizontal="center" vertical="center"/>
      <protection/>
    </xf>
    <xf numFmtId="0" fontId="31" fillId="0" borderId="0" xfId="0" applyFont="1" applyAlignment="1">
      <alignment horizontal="left" wrapText="1"/>
    </xf>
    <xf numFmtId="0" fontId="35" fillId="0" borderId="0" xfId="0" applyNumberFormat="1" applyFont="1" applyFill="1" applyAlignment="1" applyProtection="1">
      <alignment horizontal="right" vertical="center"/>
      <protection/>
    </xf>
    <xf numFmtId="0" fontId="21" fillId="0" borderId="19" xfId="0" applyNumberFormat="1" applyFont="1" applyFill="1" applyBorder="1" applyAlignment="1" applyProtection="1">
      <alignment horizontal="center" vertical="center" wrapText="1"/>
      <protection/>
    </xf>
    <xf numFmtId="0" fontId="37" fillId="0" borderId="0" xfId="0" applyNumberFormat="1" applyFont="1" applyFill="1" applyAlignment="1" applyProtection="1">
      <alignment horizontal="center" vertical="center"/>
      <protection/>
    </xf>
    <xf numFmtId="0" fontId="21" fillId="0" borderId="21" xfId="0" applyNumberFormat="1" applyFont="1" applyFill="1" applyBorder="1" applyAlignment="1" applyProtection="1">
      <alignment horizontal="left" vertical="center" wrapText="1"/>
      <protection/>
    </xf>
    <xf numFmtId="0" fontId="21" fillId="0" borderId="31" xfId="0" applyNumberFormat="1" applyFont="1" applyFill="1" applyBorder="1" applyAlignment="1" applyProtection="1">
      <alignment horizontal="left" vertical="center" wrapText="1"/>
      <protection/>
    </xf>
    <xf numFmtId="0" fontId="21" fillId="0" borderId="32" xfId="0" applyNumberFormat="1" applyFont="1" applyFill="1" applyBorder="1" applyAlignment="1" applyProtection="1">
      <alignment horizontal="left" vertical="center" wrapText="1"/>
      <protection/>
    </xf>
    <xf numFmtId="0" fontId="36"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left" wrapText="1"/>
      <protection/>
    </xf>
    <xf numFmtId="0" fontId="65" fillId="0" borderId="19"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50" fillId="0" borderId="0" xfId="0" applyFont="1" applyFill="1" applyBorder="1" applyAlignment="1">
      <alignment horizontal="left" vertical="center" wrapText="1"/>
    </xf>
    <xf numFmtId="0" fontId="0" fillId="0" borderId="20"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4" fillId="4" borderId="19" xfId="0" applyNumberFormat="1" applyFont="1" applyFill="1" applyBorder="1" applyAlignment="1" applyProtection="1">
      <alignment horizontal="center" vertical="center" wrapText="1"/>
      <protection/>
    </xf>
    <xf numFmtId="195" fontId="36" fillId="0" borderId="0" xfId="226" applyNumberFormat="1" applyFont="1" applyFill="1" applyAlignment="1">
      <alignment horizontal="left" wrapText="1"/>
      <protection/>
    </xf>
    <xf numFmtId="0" fontId="0" fillId="0" borderId="0" xfId="0" applyFont="1" applyAlignment="1">
      <alignment horizontal="left" wrapText="1"/>
    </xf>
    <xf numFmtId="0" fontId="21" fillId="0" borderId="21" xfId="0" applyNumberFormat="1" applyFont="1" applyFill="1" applyBorder="1" applyAlignment="1" applyProtection="1">
      <alignment horizontal="center" vertical="center" wrapText="1"/>
      <protection/>
    </xf>
    <xf numFmtId="0" fontId="21" fillId="0" borderId="31" xfId="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2" fillId="0" borderId="0" xfId="0" applyNumberFormat="1" applyFont="1" applyFill="1" applyBorder="1" applyAlignment="1" applyProtection="1">
      <alignment horizontal="center" vertical="top" wrapText="1"/>
      <protection/>
    </xf>
    <xf numFmtId="0" fontId="50" fillId="0" borderId="0" xfId="0" applyNumberFormat="1" applyFont="1" applyFill="1" applyBorder="1" applyAlignment="1" applyProtection="1">
      <alignment horizontal="center" vertical="top" wrapText="1"/>
      <protection/>
    </xf>
    <xf numFmtId="0" fontId="35" fillId="0" borderId="20"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21" fillId="4" borderId="19"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21" fillId="52" borderId="20" xfId="0" applyFont="1" applyFill="1" applyBorder="1" applyAlignment="1">
      <alignment horizontal="center" vertical="center" wrapText="1"/>
    </xf>
    <xf numFmtId="0" fontId="21" fillId="52" borderId="24" xfId="0" applyFont="1" applyFill="1" applyBorder="1" applyAlignment="1">
      <alignment horizontal="center" vertical="center" wrapText="1"/>
    </xf>
    <xf numFmtId="0" fontId="21" fillId="52" borderId="23" xfId="0" applyFont="1" applyFill="1" applyBorder="1" applyAlignment="1">
      <alignment horizontal="center" vertical="center" wrapText="1"/>
    </xf>
    <xf numFmtId="0" fontId="21" fillId="52" borderId="21" xfId="0" applyFont="1" applyFill="1" applyBorder="1" applyAlignment="1">
      <alignment horizontal="center" vertical="center" wrapText="1"/>
    </xf>
    <xf numFmtId="0" fontId="21" fillId="52" borderId="31" xfId="0" applyFont="1" applyFill="1" applyBorder="1" applyAlignment="1">
      <alignment horizontal="center" vertical="center" wrapText="1"/>
    </xf>
    <xf numFmtId="0" fontId="21" fillId="52" borderId="32"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4" fillId="0" borderId="0" xfId="0" applyFont="1" applyAlignment="1">
      <alignment horizontal="center" vertical="center" wrapText="1"/>
    </xf>
    <xf numFmtId="0" fontId="81" fillId="0" borderId="33" xfId="0" applyFont="1" applyBorder="1" applyAlignment="1">
      <alignment horizontal="left" wrapText="1"/>
    </xf>
    <xf numFmtId="0" fontId="0" fillId="0" borderId="0" xfId="0" applyNumberFormat="1" applyFont="1" applyFill="1" applyAlignment="1" applyProtection="1">
      <alignment/>
      <protection/>
    </xf>
    <xf numFmtId="0" fontId="0" fillId="0" borderId="0" xfId="0" applyAlignment="1">
      <alignment/>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52" borderId="26" xfId="0" applyFont="1" applyFill="1" applyBorder="1" applyAlignment="1">
      <alignment horizontal="center" vertical="center" wrapText="1"/>
    </xf>
    <xf numFmtId="0" fontId="59" fillId="52" borderId="33" xfId="0" applyFont="1" applyFill="1" applyBorder="1" applyAlignment="1">
      <alignment horizontal="center" vertical="center" wrapText="1"/>
    </xf>
    <xf numFmtId="0" fontId="59" fillId="52" borderId="27" xfId="0" applyFont="1" applyFill="1" applyBorder="1" applyAlignment="1">
      <alignment horizontal="center" vertical="center" wrapText="1"/>
    </xf>
    <xf numFmtId="0" fontId="59" fillId="52" borderId="34" xfId="0" applyFont="1" applyFill="1" applyBorder="1" applyAlignment="1">
      <alignment horizontal="center" vertical="center" wrapText="1"/>
    </xf>
    <xf numFmtId="0" fontId="59" fillId="52" borderId="18" xfId="0" applyFont="1" applyFill="1" applyBorder="1" applyAlignment="1">
      <alignment horizontal="center" vertical="center" wrapText="1"/>
    </xf>
    <xf numFmtId="0" fontId="59" fillId="52" borderId="30"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3" xfId="0" applyFont="1" applyBorder="1" applyAlignment="1">
      <alignment horizontal="center" vertical="center" wrapText="1"/>
    </xf>
    <xf numFmtId="0" fontId="21" fillId="52" borderId="19" xfId="0" applyFont="1" applyFill="1" applyBorder="1" applyAlignment="1">
      <alignment horizontal="center" vertical="center" wrapText="1"/>
    </xf>
    <xf numFmtId="49" fontId="50" fillId="44" borderId="19" xfId="208" applyNumberFormat="1" applyFont="1" applyFill="1" applyBorder="1" applyAlignment="1" applyProtection="1">
      <alignment horizontal="center"/>
      <protection/>
    </xf>
    <xf numFmtId="0" fontId="50" fillId="0" borderId="0" xfId="208" applyFont="1" applyFill="1" applyBorder="1" applyAlignment="1">
      <alignment horizontal="left" vertical="center" wrapText="1"/>
      <protection/>
    </xf>
    <xf numFmtId="49" fontId="21" fillId="0" borderId="19" xfId="208" applyNumberFormat="1" applyFont="1" applyFill="1" applyBorder="1" applyAlignment="1" applyProtection="1">
      <alignment horizontal="center" vertical="top" wrapText="1"/>
      <protection/>
    </xf>
    <xf numFmtId="49" fontId="21" fillId="52" borderId="19" xfId="208" applyNumberFormat="1" applyFont="1" applyFill="1" applyBorder="1" applyAlignment="1" applyProtection="1">
      <alignment horizontal="center" vertical="top" wrapText="1"/>
      <protection/>
    </xf>
    <xf numFmtId="0" fontId="21" fillId="52" borderId="19" xfId="208" applyNumberFormat="1" applyFont="1" applyFill="1" applyBorder="1" applyAlignment="1" applyProtection="1">
      <alignment horizontal="center" vertical="top" wrapText="1"/>
      <protection/>
    </xf>
    <xf numFmtId="0" fontId="21" fillId="52" borderId="19" xfId="208" applyFont="1" applyFill="1" applyBorder="1" applyAlignment="1">
      <alignment horizontal="center" vertical="top" wrapText="1"/>
      <protection/>
    </xf>
    <xf numFmtId="49" fontId="21" fillId="52" borderId="19" xfId="208" applyNumberFormat="1" applyFont="1" applyFill="1" applyBorder="1" applyAlignment="1">
      <alignment horizontal="center" vertical="top" wrapText="1"/>
      <protection/>
    </xf>
    <xf numFmtId="49" fontId="21" fillId="0" borderId="19" xfId="208" applyNumberFormat="1" applyFont="1" applyFill="1" applyBorder="1" applyAlignment="1">
      <alignment horizontal="center" vertical="top" wrapText="1"/>
      <protection/>
    </xf>
    <xf numFmtId="0" fontId="21" fillId="0" borderId="19" xfId="208" applyFont="1" applyBorder="1" applyAlignment="1">
      <alignment horizontal="center" vertical="top" wrapText="1"/>
      <protection/>
    </xf>
    <xf numFmtId="0" fontId="21" fillId="52" borderId="19" xfId="208" applyFont="1" applyFill="1" applyBorder="1" applyAlignment="1">
      <alignment horizontal="center" vertical="center" wrapText="1"/>
      <protection/>
    </xf>
    <xf numFmtId="49" fontId="21" fillId="52" borderId="19" xfId="208" applyNumberFormat="1" applyFont="1" applyFill="1" applyBorder="1" applyAlignment="1" applyProtection="1">
      <alignment horizontal="center" vertical="top"/>
      <protection/>
    </xf>
    <xf numFmtId="0" fontId="21" fillId="52" borderId="19" xfId="208" applyNumberFormat="1" applyFont="1" applyFill="1" applyBorder="1" applyAlignment="1" applyProtection="1">
      <alignment horizontal="center" vertical="top"/>
      <protection/>
    </xf>
    <xf numFmtId="49" fontId="21" fillId="52" borderId="19" xfId="208" applyNumberFormat="1" applyFont="1" applyFill="1" applyBorder="1" applyAlignment="1" applyProtection="1">
      <alignment horizontal="center" vertical="center"/>
      <protection/>
    </xf>
    <xf numFmtId="0" fontId="21" fillId="52" borderId="19" xfId="208" applyNumberFormat="1" applyFont="1" applyFill="1" applyBorder="1" applyAlignment="1" applyProtection="1">
      <alignment horizontal="center"/>
      <protection/>
    </xf>
    <xf numFmtId="49" fontId="21" fillId="52" borderId="19" xfId="208" applyNumberFormat="1" applyFont="1" applyFill="1" applyBorder="1" applyAlignment="1" applyProtection="1">
      <alignment horizontal="center"/>
      <protection/>
    </xf>
    <xf numFmtId="0" fontId="21" fillId="52" borderId="19" xfId="208" applyNumberFormat="1" applyFont="1" applyFill="1" applyBorder="1" applyAlignment="1" applyProtection="1">
      <alignment horizontal="center" vertical="center"/>
      <protection/>
    </xf>
    <xf numFmtId="49" fontId="21" fillId="52" borderId="20" xfId="208" applyNumberFormat="1" applyFont="1" applyFill="1" applyBorder="1" applyAlignment="1" applyProtection="1">
      <alignment horizontal="center" vertical="top" wrapText="1"/>
      <protection/>
    </xf>
    <xf numFmtId="49" fontId="21" fillId="52" borderId="24" xfId="208" applyNumberFormat="1" applyFont="1" applyFill="1" applyBorder="1" applyAlignment="1" applyProtection="1">
      <alignment horizontal="center" vertical="top" wrapText="1"/>
      <protection/>
    </xf>
    <xf numFmtId="0" fontId="21" fillId="52" borderId="20" xfId="208" applyNumberFormat="1" applyFont="1" applyFill="1" applyBorder="1" applyAlignment="1" applyProtection="1">
      <alignment horizontal="center" vertical="top" wrapText="1"/>
      <protection/>
    </xf>
    <xf numFmtId="0" fontId="21" fillId="52" borderId="24" xfId="208" applyNumberFormat="1" applyFont="1" applyFill="1" applyBorder="1" applyAlignment="1" applyProtection="1">
      <alignment horizontal="center" vertical="top" wrapText="1"/>
      <protection/>
    </xf>
    <xf numFmtId="0" fontId="21" fillId="52" borderId="19" xfId="208" applyFont="1" applyFill="1" applyBorder="1" applyAlignment="1">
      <alignment horizontal="center"/>
      <protection/>
    </xf>
    <xf numFmtId="0" fontId="21" fillId="52" borderId="19" xfId="208" applyFont="1" applyFill="1" applyBorder="1" applyAlignment="1">
      <alignment horizontal="center" wrapText="1"/>
      <protection/>
    </xf>
    <xf numFmtId="49" fontId="21" fillId="52" borderId="0" xfId="208" applyNumberFormat="1" applyFont="1" applyFill="1" applyBorder="1" applyAlignment="1" applyProtection="1">
      <alignment horizontal="center" vertical="top" wrapText="1"/>
      <protection/>
    </xf>
    <xf numFmtId="0" fontId="21" fillId="52" borderId="0" xfId="208" applyNumberFormat="1" applyFont="1" applyFill="1" applyBorder="1" applyAlignment="1" applyProtection="1">
      <alignment horizontal="center" vertical="top" wrapText="1"/>
      <protection/>
    </xf>
    <xf numFmtId="49" fontId="21" fillId="54" borderId="20" xfId="208" applyNumberFormat="1" applyFont="1" applyFill="1" applyBorder="1" applyAlignment="1" applyProtection="1">
      <alignment horizontal="center" vertical="top"/>
      <protection/>
    </xf>
    <xf numFmtId="49" fontId="21" fillId="54" borderId="24" xfId="208" applyNumberFormat="1" applyFont="1" applyFill="1" applyBorder="1" applyAlignment="1" applyProtection="1">
      <alignment horizontal="center" vertical="top"/>
      <protection/>
    </xf>
    <xf numFmtId="49" fontId="21" fillId="54" borderId="23" xfId="208" applyNumberFormat="1" applyFont="1" applyFill="1" applyBorder="1" applyAlignment="1" applyProtection="1">
      <alignment horizontal="center" vertical="top"/>
      <protection/>
    </xf>
    <xf numFmtId="0" fontId="21" fillId="54" borderId="20" xfId="208" applyNumberFormat="1" applyFont="1" applyFill="1" applyBorder="1" applyAlignment="1" applyProtection="1">
      <alignment horizontal="center" vertical="top"/>
      <protection/>
    </xf>
    <xf numFmtId="0" fontId="21" fillId="54" borderId="24" xfId="208" applyNumberFormat="1" applyFont="1" applyFill="1" applyBorder="1" applyAlignment="1" applyProtection="1">
      <alignment horizontal="center" vertical="top"/>
      <protection/>
    </xf>
    <xf numFmtId="0" fontId="21" fillId="54" borderId="23" xfId="208" applyNumberFormat="1" applyFont="1" applyFill="1" applyBorder="1" applyAlignment="1" applyProtection="1">
      <alignment horizontal="center" vertical="top"/>
      <protection/>
    </xf>
    <xf numFmtId="0" fontId="21" fillId="54" borderId="20" xfId="208" applyFont="1" applyFill="1" applyBorder="1" applyAlignment="1">
      <alignment horizontal="center" vertical="top" wrapText="1"/>
      <protection/>
    </xf>
    <xf numFmtId="0" fontId="21" fillId="54" borderId="24" xfId="208" applyFont="1" applyFill="1" applyBorder="1" applyAlignment="1">
      <alignment horizontal="center" vertical="top" wrapText="1"/>
      <protection/>
    </xf>
    <xf numFmtId="0" fontId="21" fillId="54" borderId="23" xfId="208" applyFont="1" applyFill="1" applyBorder="1" applyAlignment="1">
      <alignment horizontal="center" vertical="top" wrapText="1"/>
      <protection/>
    </xf>
    <xf numFmtId="49" fontId="21" fillId="52" borderId="20" xfId="208" applyNumberFormat="1" applyFont="1" applyFill="1" applyBorder="1" applyAlignment="1">
      <alignment horizontal="center" vertical="top" wrapText="1"/>
      <protection/>
    </xf>
    <xf numFmtId="49" fontId="21" fillId="52" borderId="24" xfId="208" applyNumberFormat="1" applyFont="1" applyFill="1" applyBorder="1" applyAlignment="1">
      <alignment horizontal="center" vertical="top" wrapText="1"/>
      <protection/>
    </xf>
    <xf numFmtId="49" fontId="21" fillId="52" borderId="23" xfId="208" applyNumberFormat="1" applyFont="1" applyFill="1" applyBorder="1" applyAlignment="1">
      <alignment horizontal="center" vertical="top" wrapText="1"/>
      <protection/>
    </xf>
    <xf numFmtId="0" fontId="21" fillId="52" borderId="20" xfId="208" applyFont="1" applyFill="1" applyBorder="1" applyAlignment="1">
      <alignment horizontal="center" vertical="top" wrapText="1"/>
      <protection/>
    </xf>
    <xf numFmtId="0" fontId="21" fillId="52" borderId="24" xfId="208" applyFont="1" applyFill="1" applyBorder="1" applyAlignment="1">
      <alignment horizontal="center" vertical="top" wrapText="1"/>
      <protection/>
    </xf>
    <xf numFmtId="0" fontId="21" fillId="52" borderId="23" xfId="208" applyFont="1" applyFill="1" applyBorder="1" applyAlignment="1">
      <alignment horizontal="center" vertical="top" wrapText="1"/>
      <protection/>
    </xf>
    <xf numFmtId="49" fontId="21" fillId="52" borderId="23" xfId="208" applyNumberFormat="1" applyFont="1" applyFill="1" applyBorder="1" applyAlignment="1" applyProtection="1">
      <alignment horizontal="center" vertical="top" wrapText="1"/>
      <protection/>
    </xf>
    <xf numFmtId="0" fontId="21" fillId="52" borderId="23" xfId="208" applyNumberFormat="1" applyFont="1" applyFill="1" applyBorder="1" applyAlignment="1" applyProtection="1">
      <alignment horizontal="center" vertical="top" wrapText="1"/>
      <protection/>
    </xf>
    <xf numFmtId="49" fontId="21" fillId="52" borderId="19" xfId="208" applyNumberFormat="1" applyFont="1" applyFill="1" applyBorder="1" applyAlignment="1">
      <alignment horizontal="center" vertical="center" wrapText="1"/>
      <protection/>
    </xf>
    <xf numFmtId="49" fontId="21" fillId="0" borderId="20" xfId="208" applyNumberFormat="1" applyFont="1" applyFill="1" applyBorder="1" applyAlignment="1">
      <alignment horizontal="center" vertical="top" wrapText="1"/>
      <protection/>
    </xf>
    <xf numFmtId="49" fontId="21" fillId="0" borderId="24" xfId="208" applyNumberFormat="1" applyFont="1" applyFill="1" applyBorder="1" applyAlignment="1">
      <alignment horizontal="center" vertical="top" wrapText="1"/>
      <protection/>
    </xf>
    <xf numFmtId="49" fontId="21" fillId="0" borderId="23" xfId="208" applyNumberFormat="1" applyFont="1" applyFill="1" applyBorder="1" applyAlignment="1">
      <alignment horizontal="center" vertical="top" wrapText="1"/>
      <protection/>
    </xf>
    <xf numFmtId="4" fontId="0" fillId="0" borderId="0" xfId="208" applyNumberFormat="1" applyFont="1" applyFill="1" applyAlignment="1" applyProtection="1">
      <alignment horizontal="left" wrapText="1"/>
      <protection/>
    </xf>
    <xf numFmtId="4" fontId="0" fillId="0" borderId="0" xfId="208" applyNumberFormat="1" applyFont="1" applyFill="1" applyAlignment="1" applyProtection="1">
      <alignment horizontal="left"/>
      <protection/>
    </xf>
    <xf numFmtId="0" fontId="97" fillId="0" borderId="0" xfId="208" applyNumberFormat="1" applyFont="1" applyFill="1" applyBorder="1" applyAlignment="1" applyProtection="1">
      <alignment horizontal="center" vertical="center" wrapText="1"/>
      <protection/>
    </xf>
    <xf numFmtId="193" fontId="36" fillId="0" borderId="20" xfId="0" applyNumberFormat="1" applyFont="1" applyFill="1" applyBorder="1" applyAlignment="1">
      <alignment horizontal="center" vertical="center" wrapText="1"/>
    </xf>
    <xf numFmtId="193" fontId="36" fillId="0" borderId="23" xfId="0" applyNumberFormat="1" applyFont="1" applyFill="1" applyBorder="1" applyAlignment="1">
      <alignment horizontal="center" vertical="center" wrapText="1"/>
    </xf>
    <xf numFmtId="49" fontId="30" fillId="0" borderId="20" xfId="0" applyNumberFormat="1" applyFont="1" applyBorder="1" applyAlignment="1">
      <alignment horizontal="center" vertical="center" wrapText="1"/>
    </xf>
    <xf numFmtId="49" fontId="30" fillId="0" borderId="24"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0" fontId="36" fillId="0" borderId="20"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3" xfId="0" applyFont="1" applyBorder="1" applyAlignment="1">
      <alignment horizontal="center" vertical="center" wrapText="1"/>
    </xf>
    <xf numFmtId="49" fontId="36" fillId="0" borderId="20"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3" xfId="0" applyNumberFormat="1" applyFont="1" applyBorder="1" applyAlignment="1">
      <alignment horizontal="center" vertical="center" wrapText="1"/>
    </xf>
    <xf numFmtId="49" fontId="36" fillId="0" borderId="20" xfId="0" applyNumberFormat="1" applyFont="1" applyBorder="1" applyAlignment="1">
      <alignment horizontal="left" vertical="center" wrapText="1"/>
    </xf>
    <xf numFmtId="49" fontId="36" fillId="0" borderId="24" xfId="0" applyNumberFormat="1" applyFont="1" applyBorder="1" applyAlignment="1">
      <alignment horizontal="left" vertical="center" wrapText="1"/>
    </xf>
    <xf numFmtId="49" fontId="36" fillId="0" borderId="23" xfId="0" applyNumberFormat="1" applyFont="1" applyBorder="1" applyAlignment="1">
      <alignment horizontal="left" vertical="center" wrapText="1"/>
    </xf>
    <xf numFmtId="193" fontId="36" fillId="0" borderId="20" xfId="0" applyNumberFormat="1" applyFont="1" applyBorder="1" applyAlignment="1">
      <alignment horizontal="center" vertical="center" wrapText="1"/>
    </xf>
    <xf numFmtId="193" fontId="36" fillId="0" borderId="23" xfId="0" applyNumberFormat="1" applyFont="1" applyBorder="1" applyAlignment="1">
      <alignment horizontal="center" vertical="center" wrapText="1"/>
    </xf>
    <xf numFmtId="193" fontId="36" fillId="0" borderId="24" xfId="0" applyNumberFormat="1" applyFont="1" applyBorder="1" applyAlignment="1">
      <alignment horizontal="center" vertical="center" wrapText="1"/>
    </xf>
    <xf numFmtId="193" fontId="36" fillId="0" borderId="20" xfId="0" applyNumberFormat="1" applyFont="1" applyBorder="1" applyAlignment="1">
      <alignment horizontal="left" vertical="center" wrapText="1"/>
    </xf>
    <xf numFmtId="193" fontId="36" fillId="0" borderId="24" xfId="0" applyNumberFormat="1" applyFont="1" applyBorder="1" applyAlignment="1">
      <alignment horizontal="left" vertical="center" wrapText="1"/>
    </xf>
    <xf numFmtId="193" fontId="36" fillId="0" borderId="23" xfId="0" applyNumberFormat="1" applyFont="1" applyBorder="1" applyAlignment="1">
      <alignment horizontal="left" vertical="center" wrapText="1"/>
    </xf>
    <xf numFmtId="193" fontId="36" fillId="52" borderId="20" xfId="0" applyNumberFormat="1" applyFont="1" applyFill="1" applyBorder="1" applyAlignment="1">
      <alignment horizontal="left" vertical="center" wrapText="1"/>
    </xf>
    <xf numFmtId="193" fontId="36" fillId="52" borderId="24" xfId="0" applyNumberFormat="1" applyFont="1" applyFill="1" applyBorder="1" applyAlignment="1">
      <alignment horizontal="left" vertical="center" wrapText="1"/>
    </xf>
    <xf numFmtId="193" fontId="36" fillId="52" borderId="23" xfId="0" applyNumberFormat="1" applyFont="1" applyFill="1" applyBorder="1" applyAlignment="1">
      <alignment horizontal="left" vertical="center" wrapText="1"/>
    </xf>
    <xf numFmtId="49" fontId="36" fillId="53" borderId="19" xfId="0" applyNumberFormat="1" applyFont="1" applyFill="1" applyBorder="1" applyAlignment="1">
      <alignment horizontal="center" vertical="center" wrapText="1"/>
    </xf>
    <xf numFmtId="49" fontId="30" fillId="0" borderId="19"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0" fontId="29" fillId="0" borderId="19" xfId="0" applyFont="1" applyBorder="1" applyAlignment="1">
      <alignment horizontal="left" vertical="center" wrapText="1"/>
    </xf>
    <xf numFmtId="49" fontId="30" fillId="0" borderId="20" xfId="0" applyNumberFormat="1" applyFont="1" applyFill="1" applyBorder="1" applyAlignment="1">
      <alignment horizontal="center" vertical="center" wrapText="1"/>
    </xf>
    <xf numFmtId="49" fontId="30" fillId="0" borderId="24" xfId="0" applyNumberFormat="1" applyFont="1" applyFill="1" applyBorder="1" applyAlignment="1">
      <alignment horizontal="center" vertical="center" wrapText="1"/>
    </xf>
    <xf numFmtId="49" fontId="30" fillId="0" borderId="23" xfId="0" applyNumberFormat="1"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3" xfId="0" applyFont="1" applyFill="1" applyBorder="1" applyAlignment="1">
      <alignment horizontal="center" vertical="center" wrapText="1"/>
    </xf>
    <xf numFmtId="49" fontId="36" fillId="0" borderId="20" xfId="0" applyNumberFormat="1" applyFont="1" applyFill="1" applyBorder="1" applyAlignment="1">
      <alignment horizontal="center" vertical="center" wrapText="1"/>
    </xf>
    <xf numFmtId="49" fontId="36" fillId="0" borderId="24" xfId="0" applyNumberFormat="1" applyFont="1" applyFill="1" applyBorder="1" applyAlignment="1">
      <alignment horizontal="center" vertical="center" wrapText="1"/>
    </xf>
    <xf numFmtId="49" fontId="36" fillId="0" borderId="23" xfId="0" applyNumberFormat="1" applyFont="1" applyFill="1" applyBorder="1" applyAlignment="1">
      <alignment horizontal="center" vertical="center" wrapText="1"/>
    </xf>
    <xf numFmtId="49" fontId="36" fillId="0" borderId="20" xfId="0" applyNumberFormat="1" applyFont="1" applyFill="1" applyBorder="1" applyAlignment="1">
      <alignment horizontal="left" vertical="center" wrapText="1"/>
    </xf>
    <xf numFmtId="49" fontId="36" fillId="0" borderId="24" xfId="0" applyNumberFormat="1" applyFont="1" applyFill="1" applyBorder="1" applyAlignment="1">
      <alignment horizontal="left" vertical="center" wrapText="1"/>
    </xf>
    <xf numFmtId="49" fontId="36" fillId="0" borderId="23" xfId="0" applyNumberFormat="1" applyFont="1" applyFill="1" applyBorder="1" applyAlignment="1">
      <alignment horizontal="left" vertical="center" wrapText="1"/>
    </xf>
    <xf numFmtId="193" fontId="36" fillId="52" borderId="19" xfId="189" applyNumberFormat="1" applyFont="1" applyFill="1" applyBorder="1" applyAlignment="1">
      <alignment horizontal="center" vertical="center" wrapText="1"/>
      <protection/>
    </xf>
    <xf numFmtId="0" fontId="36" fillId="0" borderId="20" xfId="0" applyFont="1" applyBorder="1" applyAlignment="1">
      <alignment horizontal="left" vertical="center" wrapText="1"/>
    </xf>
    <xf numFmtId="0" fontId="36" fillId="0" borderId="24" xfId="0" applyFont="1" applyBorder="1" applyAlignment="1">
      <alignment horizontal="left" vertical="center" wrapText="1"/>
    </xf>
    <xf numFmtId="193" fontId="36" fillId="0" borderId="20" xfId="0" applyNumberFormat="1" applyFont="1" applyFill="1" applyBorder="1" applyAlignment="1" applyProtection="1">
      <alignment horizontal="center" vertical="center" wrapText="1"/>
      <protection/>
    </xf>
    <xf numFmtId="193" fontId="36" fillId="0" borderId="23" xfId="0" applyNumberFormat="1" applyFont="1" applyFill="1" applyBorder="1" applyAlignment="1" applyProtection="1">
      <alignment horizontal="center" vertical="center" wrapText="1"/>
      <protection/>
    </xf>
    <xf numFmtId="193" fontId="36" fillId="0" borderId="20" xfId="0" applyNumberFormat="1" applyFont="1" applyFill="1" applyBorder="1" applyAlignment="1" applyProtection="1">
      <alignment horizontal="left" vertical="center" wrapText="1"/>
      <protection/>
    </xf>
    <xf numFmtId="193" fontId="36" fillId="0" borderId="23" xfId="0" applyNumberFormat="1" applyFont="1" applyFill="1" applyBorder="1" applyAlignment="1" applyProtection="1">
      <alignment horizontal="left" vertical="center" wrapText="1"/>
      <protection/>
    </xf>
    <xf numFmtId="49" fontId="36" fillId="0" borderId="19" xfId="0" applyNumberFormat="1" applyFont="1" applyBorder="1" applyAlignment="1">
      <alignment horizontal="left" vertical="center" wrapText="1"/>
    </xf>
    <xf numFmtId="0" fontId="4" fillId="0" borderId="2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wrapText="1"/>
      <protection/>
    </xf>
    <xf numFmtId="49" fontId="36"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0" fillId="0" borderId="0" xfId="0" applyFont="1" applyAlignment="1">
      <alignment horizontal="left" wrapText="1"/>
    </xf>
    <xf numFmtId="0" fontId="29" fillId="0" borderId="19" xfId="0" applyFont="1" applyFill="1" applyBorder="1" applyAlignment="1">
      <alignment horizontal="left" vertical="center"/>
    </xf>
    <xf numFmtId="0" fontId="0" fillId="0" borderId="19" xfId="0" applyFont="1" applyBorder="1" applyAlignment="1">
      <alignment vertical="center"/>
    </xf>
    <xf numFmtId="0" fontId="62" fillId="0" borderId="0" xfId="0" applyNumberFormat="1" applyFont="1" applyFill="1" applyBorder="1" applyAlignment="1" applyProtection="1">
      <alignment horizontal="center" vertical="center" wrapText="1"/>
      <protection/>
    </xf>
    <xf numFmtId="0" fontId="50" fillId="0" borderId="0" xfId="0" applyNumberFormat="1" applyFont="1" applyFill="1" applyBorder="1" applyAlignment="1" applyProtection="1">
      <alignment horizontal="center" vertical="center" wrapText="1"/>
      <protection/>
    </xf>
    <xf numFmtId="0" fontId="36" fillId="0" borderId="20" xfId="0" applyFont="1" applyBorder="1" applyAlignment="1">
      <alignment horizontal="left" vertical="center"/>
    </xf>
    <xf numFmtId="0" fontId="36" fillId="0" borderId="24" xfId="0" applyFont="1" applyBorder="1" applyAlignment="1">
      <alignment horizontal="left" vertical="center"/>
    </xf>
    <xf numFmtId="0" fontId="36" fillId="0" borderId="23" xfId="0" applyFont="1" applyBorder="1" applyAlignment="1">
      <alignment horizontal="left" vertical="center"/>
    </xf>
    <xf numFmtId="49" fontId="30" fillId="0" borderId="19" xfId="0" applyNumberFormat="1"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3" xfId="0" applyFont="1" applyBorder="1" applyAlignment="1">
      <alignment horizontal="center" vertical="center" wrapText="1"/>
    </xf>
    <xf numFmtId="0" fontId="36" fillId="0" borderId="23" xfId="0" applyFont="1" applyBorder="1" applyAlignment="1">
      <alignment horizontal="left" vertical="center" wrapText="1"/>
    </xf>
    <xf numFmtId="193" fontId="36" fillId="0" borderId="20" xfId="189" applyNumberFormat="1" applyFont="1" applyBorder="1" applyAlignment="1">
      <alignment horizontal="left" vertical="center" wrapText="1"/>
      <protection/>
    </xf>
    <xf numFmtId="193" fontId="36" fillId="0" borderId="24" xfId="189" applyNumberFormat="1" applyFont="1" applyBorder="1" applyAlignment="1">
      <alignment horizontal="left" vertical="center" wrapText="1"/>
      <protection/>
    </xf>
    <xf numFmtId="193" fontId="36" fillId="0" borderId="23" xfId="189" applyNumberFormat="1" applyFont="1" applyBorder="1" applyAlignment="1">
      <alignment horizontal="left" vertical="center" wrapText="1"/>
      <protection/>
    </xf>
    <xf numFmtId="0" fontId="30" fillId="0" borderId="19" xfId="0" applyFont="1" applyBorder="1" applyAlignment="1">
      <alignment horizontal="center" vertical="center" wrapText="1"/>
    </xf>
    <xf numFmtId="193" fontId="36" fillId="52" borderId="19" xfId="189" applyNumberFormat="1" applyFont="1" applyFill="1" applyBorder="1" applyAlignment="1">
      <alignment horizontal="left" vertical="center" wrapText="1"/>
      <protection/>
    </xf>
    <xf numFmtId="0" fontId="0" fillId="0" borderId="19" xfId="0" applyFont="1" applyBorder="1" applyAlignment="1">
      <alignment horizontal="center" vertical="center" wrapText="1"/>
    </xf>
    <xf numFmtId="0" fontId="50" fillId="0" borderId="0" xfId="0" applyFont="1" applyAlignment="1">
      <alignment horizontal="left" vertical="center" wrapText="1"/>
    </xf>
    <xf numFmtId="0" fontId="36" fillId="0" borderId="20"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24" xfId="0" applyFont="1" applyBorder="1" applyAlignment="1">
      <alignment horizontal="left" vertical="center" wrapText="1"/>
    </xf>
    <xf numFmtId="0" fontId="29" fillId="0" borderId="23" xfId="0" applyFont="1" applyBorder="1" applyAlignment="1">
      <alignment horizontal="left" vertical="center" wrapText="1"/>
    </xf>
    <xf numFmtId="0" fontId="30" fillId="45" borderId="19" xfId="0" applyFont="1" applyFill="1" applyBorder="1" applyAlignment="1">
      <alignment horizontal="center" vertical="center" wrapText="1"/>
    </xf>
    <xf numFmtId="0" fontId="36" fillId="0" borderId="19" xfId="0" applyFont="1" applyBorder="1" applyAlignment="1">
      <alignment horizontal="center" vertical="center" wrapText="1"/>
    </xf>
    <xf numFmtId="49" fontId="36" fillId="53" borderId="20" xfId="0" applyNumberFormat="1" applyFont="1" applyFill="1" applyBorder="1" applyAlignment="1">
      <alignment horizontal="center" vertical="center" wrapText="1"/>
    </xf>
    <xf numFmtId="49" fontId="36" fillId="53" borderId="24" xfId="0" applyNumberFormat="1" applyFont="1" applyFill="1" applyBorder="1" applyAlignment="1">
      <alignment horizontal="center" vertical="center" wrapText="1"/>
    </xf>
    <xf numFmtId="49" fontId="36" fillId="53" borderId="23" xfId="0" applyNumberFormat="1" applyFont="1" applyFill="1" applyBorder="1" applyAlignment="1">
      <alignment horizontal="center" vertical="center" wrapText="1"/>
    </xf>
    <xf numFmtId="49" fontId="0" fillId="0" borderId="19" xfId="0" applyNumberFormat="1" applyFont="1" applyBorder="1" applyAlignment="1">
      <alignment horizontal="center" vertical="center" wrapText="1"/>
    </xf>
    <xf numFmtId="193" fontId="36" fillId="0" borderId="19" xfId="0" applyNumberFormat="1" applyFont="1" applyBorder="1" applyAlignment="1">
      <alignment horizontal="left" vertical="center" wrapText="1"/>
    </xf>
    <xf numFmtId="193" fontId="36" fillId="0" borderId="20" xfId="0" applyNumberFormat="1" applyFont="1" applyFill="1" applyBorder="1" applyAlignment="1">
      <alignment horizontal="left" vertical="center" wrapText="1"/>
    </xf>
    <xf numFmtId="193" fontId="36" fillId="0" borderId="23" xfId="0" applyNumberFormat="1" applyFont="1" applyFill="1" applyBorder="1" applyAlignment="1">
      <alignment horizontal="left" vertical="center" wrapText="1"/>
    </xf>
    <xf numFmtId="0" fontId="0" fillId="0" borderId="23" xfId="0" applyFont="1" applyBorder="1" applyAlignment="1">
      <alignment vertical="center" wrapText="1"/>
    </xf>
    <xf numFmtId="0" fontId="36" fillId="0" borderId="19" xfId="0" applyFont="1" applyBorder="1" applyAlignment="1">
      <alignment horizontal="left" vertical="center" wrapText="1"/>
    </xf>
    <xf numFmtId="0" fontId="100" fillId="0" borderId="0" xfId="211" applyFont="1" applyAlignment="1">
      <alignment horizontal="center"/>
      <protection/>
    </xf>
    <xf numFmtId="0" fontId="100" fillId="0" borderId="0" xfId="211" applyFont="1" applyFill="1" applyAlignment="1">
      <alignment horizontal="left"/>
      <protection/>
    </xf>
    <xf numFmtId="4" fontId="75" fillId="0" borderId="0" xfId="211" applyNumberFormat="1" applyFont="1" applyFill="1" applyAlignment="1">
      <alignment horizontal="left" wrapText="1"/>
      <protection/>
    </xf>
    <xf numFmtId="0" fontId="100" fillId="0" borderId="0" xfId="211" applyFont="1">
      <alignment/>
      <protection/>
    </xf>
    <xf numFmtId="0" fontId="101" fillId="0" borderId="0" xfId="211" applyFont="1" applyFill="1" applyBorder="1" applyAlignment="1">
      <alignment horizontal="center" vertical="center" wrapText="1"/>
      <protection/>
    </xf>
    <xf numFmtId="2" fontId="100" fillId="0" borderId="19" xfId="211" applyNumberFormat="1" applyFont="1" applyBorder="1" applyAlignment="1">
      <alignment horizontal="center" vertical="center"/>
      <protection/>
    </xf>
    <xf numFmtId="0" fontId="100" fillId="0" borderId="19" xfId="211" applyFont="1" applyFill="1" applyBorder="1" applyAlignment="1">
      <alignment horizontal="center" vertical="center" wrapText="1"/>
      <protection/>
    </xf>
    <xf numFmtId="4" fontId="100" fillId="0" borderId="19" xfId="211" applyNumberFormat="1" applyFont="1" applyFill="1" applyBorder="1" applyAlignment="1">
      <alignment horizontal="center" vertical="center" wrapText="1"/>
      <protection/>
    </xf>
    <xf numFmtId="0" fontId="100" fillId="0" borderId="19" xfId="211" applyFont="1" applyBorder="1" applyAlignment="1">
      <alignment horizontal="center"/>
      <protection/>
    </xf>
    <xf numFmtId="0" fontId="101" fillId="44" borderId="19" xfId="211" applyFont="1" applyFill="1" applyBorder="1" applyAlignment="1">
      <alignment horizontal="left"/>
      <protection/>
    </xf>
    <xf numFmtId="4" fontId="100" fillId="44" borderId="19" xfId="211" applyNumberFormat="1" applyFont="1" applyFill="1" applyBorder="1" applyAlignment="1">
      <alignment horizontal="right"/>
      <protection/>
    </xf>
    <xf numFmtId="0" fontId="100" fillId="54" borderId="19" xfId="211" applyFont="1" applyFill="1" applyBorder="1" applyAlignment="1">
      <alignment horizontal="center"/>
      <protection/>
    </xf>
    <xf numFmtId="0" fontId="101" fillId="54" borderId="19" xfId="211" applyFont="1" applyFill="1" applyBorder="1" applyAlignment="1">
      <alignment horizontal="left"/>
      <protection/>
    </xf>
    <xf numFmtId="4" fontId="100" fillId="54" borderId="19" xfId="211" applyNumberFormat="1" applyFont="1" applyFill="1" applyBorder="1" applyAlignment="1">
      <alignment horizontal="right"/>
      <protection/>
    </xf>
    <xf numFmtId="0" fontId="101" fillId="44" borderId="19" xfId="211" applyFont="1" applyFill="1" applyBorder="1" applyAlignment="1">
      <alignment horizontal="left" wrapText="1"/>
      <protection/>
    </xf>
    <xf numFmtId="4" fontId="101" fillId="44" borderId="19" xfId="211" applyNumberFormat="1" applyFont="1" applyFill="1" applyBorder="1" applyAlignment="1">
      <alignment horizontal="right" wrapText="1"/>
      <protection/>
    </xf>
    <xf numFmtId="0" fontId="100" fillId="52" borderId="23" xfId="211" applyFont="1" applyFill="1" applyBorder="1" applyAlignment="1">
      <alignment wrapText="1"/>
      <protection/>
    </xf>
    <xf numFmtId="4" fontId="100" fillId="0" borderId="19" xfId="211" applyNumberFormat="1" applyFont="1" applyFill="1" applyBorder="1" applyAlignment="1">
      <alignment horizontal="right" wrapText="1"/>
      <protection/>
    </xf>
    <xf numFmtId="0" fontId="102" fillId="0" borderId="19" xfId="249" applyFont="1" applyFill="1" applyBorder="1" applyAlignment="1">
      <alignment horizontal="left" wrapText="1"/>
      <protection/>
    </xf>
    <xf numFmtId="4" fontId="102" fillId="0" borderId="19" xfId="211" applyNumberFormat="1" applyFont="1" applyFill="1" applyBorder="1" applyAlignment="1">
      <alignment horizontal="right" wrapText="1"/>
      <protection/>
    </xf>
    <xf numFmtId="0" fontId="102" fillId="0" borderId="0" xfId="211" applyFont="1">
      <alignment/>
      <protection/>
    </xf>
    <xf numFmtId="4" fontId="102" fillId="0" borderId="0" xfId="211" applyNumberFormat="1" applyFont="1">
      <alignment/>
      <protection/>
    </xf>
    <xf numFmtId="0" fontId="100" fillId="0" borderId="19" xfId="211" applyFont="1" applyFill="1" applyBorder="1" applyAlignment="1">
      <alignment horizontal="left" wrapText="1"/>
      <protection/>
    </xf>
    <xf numFmtId="0" fontId="100" fillId="52" borderId="19" xfId="211" applyFont="1" applyFill="1" applyBorder="1" applyAlignment="1">
      <alignment wrapText="1"/>
      <protection/>
    </xf>
    <xf numFmtId="0" fontId="101" fillId="0" borderId="19" xfId="211" applyFont="1" applyFill="1" applyBorder="1" applyAlignment="1">
      <alignment horizontal="left"/>
      <protection/>
    </xf>
    <xf numFmtId="4" fontId="100" fillId="0" borderId="19" xfId="211" applyNumberFormat="1" applyFont="1" applyFill="1" applyBorder="1" applyAlignment="1">
      <alignment horizontal="right"/>
      <protection/>
    </xf>
    <xf numFmtId="0" fontId="101" fillId="0" borderId="19" xfId="211" applyFont="1" applyFill="1" applyBorder="1" applyAlignment="1">
      <alignment horizontal="left" wrapText="1"/>
      <protection/>
    </xf>
    <xf numFmtId="4" fontId="101" fillId="0" borderId="19" xfId="211" applyNumberFormat="1" applyFont="1" applyFill="1" applyBorder="1" applyAlignment="1">
      <alignment horizontal="right"/>
      <protection/>
    </xf>
    <xf numFmtId="0" fontId="100" fillId="0" borderId="0" xfId="211" applyFont="1" applyFill="1" applyBorder="1" applyAlignment="1">
      <alignment wrapText="1"/>
      <protection/>
    </xf>
    <xf numFmtId="0" fontId="100" fillId="0" borderId="0" xfId="211" applyFont="1" applyBorder="1">
      <alignment/>
      <protection/>
    </xf>
    <xf numFmtId="4" fontId="100" fillId="0" borderId="0" xfId="211" applyNumberFormat="1" applyFont="1" applyFill="1" applyBorder="1" applyAlignment="1">
      <alignment wrapText="1"/>
      <protection/>
    </xf>
    <xf numFmtId="0" fontId="101" fillId="54" borderId="19" xfId="211" applyFont="1" applyFill="1" applyBorder="1" applyAlignment="1">
      <alignment horizontal="left" wrapText="1"/>
      <protection/>
    </xf>
    <xf numFmtId="4" fontId="101" fillId="54" borderId="19" xfId="211" applyNumberFormat="1" applyFont="1" applyFill="1" applyBorder="1" applyAlignment="1">
      <alignment horizontal="right" wrapText="1"/>
      <protection/>
    </xf>
    <xf numFmtId="0" fontId="100" fillId="54" borderId="19" xfId="211" applyFont="1" applyFill="1" applyBorder="1" applyAlignment="1">
      <alignment horizontal="left" wrapText="1"/>
      <protection/>
    </xf>
    <xf numFmtId="4" fontId="100" fillId="54" borderId="19" xfId="211" applyNumberFormat="1" applyFont="1" applyFill="1" applyBorder="1" applyAlignment="1">
      <alignment horizontal="right" wrapText="1"/>
      <protection/>
    </xf>
    <xf numFmtId="0" fontId="102" fillId="54" borderId="19" xfId="211" applyFont="1" applyFill="1" applyBorder="1" applyAlignment="1">
      <alignment horizontal="left" wrapText="1"/>
      <protection/>
    </xf>
    <xf numFmtId="4" fontId="102" fillId="54" borderId="19" xfId="211" applyNumberFormat="1" applyFont="1" applyFill="1" applyBorder="1" applyAlignment="1">
      <alignment horizontal="right" wrapText="1"/>
      <protection/>
    </xf>
    <xf numFmtId="4" fontId="102" fillId="0" borderId="19" xfId="211" applyNumberFormat="1" applyFont="1" applyFill="1" applyBorder="1" applyAlignment="1">
      <alignment wrapText="1"/>
      <protection/>
    </xf>
    <xf numFmtId="0" fontId="100" fillId="0" borderId="19" xfId="211" applyFont="1" applyBorder="1">
      <alignment/>
      <protection/>
    </xf>
    <xf numFmtId="0" fontId="101" fillId="44" borderId="19" xfId="211" applyFont="1" applyFill="1" applyBorder="1" applyAlignment="1">
      <alignment horizontal="right"/>
      <protection/>
    </xf>
    <xf numFmtId="0" fontId="100" fillId="54" borderId="19" xfId="211" applyFont="1" applyFill="1" applyBorder="1">
      <alignment/>
      <protection/>
    </xf>
    <xf numFmtId="0" fontId="101" fillId="54" borderId="19" xfId="211" applyFont="1" applyFill="1" applyBorder="1" applyAlignment="1">
      <alignment horizontal="right"/>
      <protection/>
    </xf>
    <xf numFmtId="0" fontId="100" fillId="54" borderId="0" xfId="211" applyFont="1" applyFill="1">
      <alignment/>
      <protection/>
    </xf>
    <xf numFmtId="4" fontId="100" fillId="0" borderId="0" xfId="211" applyNumberFormat="1" applyFont="1">
      <alignment/>
      <protection/>
    </xf>
    <xf numFmtId="0" fontId="102" fillId="0" borderId="0" xfId="211" applyFont="1" applyFill="1" applyBorder="1" applyAlignment="1">
      <alignment wrapText="1"/>
      <protection/>
    </xf>
    <xf numFmtId="0" fontId="102" fillId="0" borderId="0" xfId="211" applyFont="1" applyBorder="1">
      <alignment/>
      <protection/>
    </xf>
    <xf numFmtId="4" fontId="101" fillId="44" borderId="19" xfId="211" applyNumberFormat="1" applyFont="1" applyFill="1" applyBorder="1" applyAlignment="1">
      <alignment horizontal="right"/>
      <protection/>
    </xf>
    <xf numFmtId="0" fontId="100" fillId="0" borderId="0" xfId="211" applyFont="1" applyFill="1" applyBorder="1">
      <alignment/>
      <protection/>
    </xf>
    <xf numFmtId="4" fontId="101" fillId="0" borderId="19" xfId="211" applyNumberFormat="1" applyFont="1" applyFill="1" applyBorder="1" applyAlignment="1">
      <alignment horizontal="right" wrapText="1"/>
      <protection/>
    </xf>
    <xf numFmtId="0" fontId="102" fillId="54" borderId="19" xfId="246" applyFont="1" applyFill="1" applyBorder="1" applyAlignment="1">
      <alignment horizontal="left" vertical="center" wrapText="1"/>
      <protection/>
    </xf>
    <xf numFmtId="0" fontId="100" fillId="0" borderId="0" xfId="211" applyFont="1" applyAlignment="1">
      <alignment horizontal="left"/>
      <protection/>
    </xf>
    <xf numFmtId="4" fontId="100" fillId="53" borderId="0" xfId="211" applyNumberFormat="1" applyFont="1" applyFill="1" applyAlignment="1">
      <alignment horizontal="right"/>
      <protection/>
    </xf>
  </cellXfs>
  <cellStyles count="277">
    <cellStyle name="Normal" xfId="0"/>
    <cellStyle name="20% - Акцент1" xfId="15"/>
    <cellStyle name="20% - Акцент1 2" xfId="16"/>
    <cellStyle name="20% - Акцент1 3" xfId="17"/>
    <cellStyle name="20% - Акцент1_уточнення" xfId="18"/>
    <cellStyle name="20% - Акцент2" xfId="19"/>
    <cellStyle name="20% - Акцент2 2" xfId="20"/>
    <cellStyle name="20% - Акцент2 3" xfId="21"/>
    <cellStyle name="20% - Акцент2_уточнення" xfId="22"/>
    <cellStyle name="20% - Акцент3" xfId="23"/>
    <cellStyle name="20% - Акцент3 2" xfId="24"/>
    <cellStyle name="20% - Акцент3 3" xfId="25"/>
    <cellStyle name="20% - Акцент3_уточнення" xfId="26"/>
    <cellStyle name="20% - Акцент4" xfId="27"/>
    <cellStyle name="20% - Акцент4 2" xfId="28"/>
    <cellStyle name="20% - Акцент4 3" xfId="29"/>
    <cellStyle name="20% - Акцент4_уточнення" xfId="30"/>
    <cellStyle name="20% - Акцент5" xfId="31"/>
    <cellStyle name="20% - Акцент5 2" xfId="32"/>
    <cellStyle name="20% - Акцент5 3" xfId="33"/>
    <cellStyle name="20% - Акцент5_уточнення" xfId="34"/>
    <cellStyle name="20% - Акцент6" xfId="35"/>
    <cellStyle name="20% - Акцент6 2" xfId="36"/>
    <cellStyle name="20% - Акцент6 3" xfId="37"/>
    <cellStyle name="20% - Акцент6_уточнення"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2" xfId="46"/>
    <cellStyle name="40% - Акцент1 3" xfId="47"/>
    <cellStyle name="40% - Акцент1_уточнення" xfId="48"/>
    <cellStyle name="40% - Акцент2" xfId="49"/>
    <cellStyle name="40% - Акцент2 2" xfId="50"/>
    <cellStyle name="40% - Акцент2 3" xfId="51"/>
    <cellStyle name="40% - Акцент2_уточнення" xfId="52"/>
    <cellStyle name="40% - Акцент3" xfId="53"/>
    <cellStyle name="40% - Акцент3 2" xfId="54"/>
    <cellStyle name="40% - Акцент3 3" xfId="55"/>
    <cellStyle name="40% - Акцент3_уточнення" xfId="56"/>
    <cellStyle name="40% - Акцент4" xfId="57"/>
    <cellStyle name="40% - Акцент4 2" xfId="58"/>
    <cellStyle name="40% - Акцент4 3" xfId="59"/>
    <cellStyle name="40% - Акцент4_уточнення" xfId="60"/>
    <cellStyle name="40% - Акцент5" xfId="61"/>
    <cellStyle name="40% - Акцент5 2" xfId="62"/>
    <cellStyle name="40% - Акцент5 3" xfId="63"/>
    <cellStyle name="40% - Акцент5_уточнення" xfId="64"/>
    <cellStyle name="40% - Акцент6" xfId="65"/>
    <cellStyle name="40% - Акцент6 2" xfId="66"/>
    <cellStyle name="40% - Акцент6 3" xfId="67"/>
    <cellStyle name="40% - Акцент6_уточнення"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2" xfId="76"/>
    <cellStyle name="60% - Акцент1 3" xfId="77"/>
    <cellStyle name="60% - Акцент1_уточнення" xfId="78"/>
    <cellStyle name="60% - Акцент2" xfId="79"/>
    <cellStyle name="60% - Акцент2 2" xfId="80"/>
    <cellStyle name="60% - Акцент2 3" xfId="81"/>
    <cellStyle name="60% - Акцент2_уточнення" xfId="82"/>
    <cellStyle name="60% - Акцент3" xfId="83"/>
    <cellStyle name="60% - Акцент3 2" xfId="84"/>
    <cellStyle name="60% - Акцент3 3" xfId="85"/>
    <cellStyle name="60% - Акцент3_уточнення" xfId="86"/>
    <cellStyle name="60% - Акцент4" xfId="87"/>
    <cellStyle name="60% - Акцент4 2" xfId="88"/>
    <cellStyle name="60% - Акцент4 3" xfId="89"/>
    <cellStyle name="60% - Акцент4_уточнення" xfId="90"/>
    <cellStyle name="60% - Акцент5" xfId="91"/>
    <cellStyle name="60% - Акцент5 2" xfId="92"/>
    <cellStyle name="60% - Акцент5 3" xfId="93"/>
    <cellStyle name="60% - Акцент5_уточнення" xfId="94"/>
    <cellStyle name="60% - Акцент6" xfId="95"/>
    <cellStyle name="60% - Акцент6 2" xfId="96"/>
    <cellStyle name="60% - Акцент6 3" xfId="97"/>
    <cellStyle name="60% - Акцент6_уточнення"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Normal_Local Bud Plan 2003" xfId="105"/>
    <cellStyle name="Normal_Доходи" xfId="106"/>
    <cellStyle name="Акцент1" xfId="107"/>
    <cellStyle name="Акцент1 2" xfId="108"/>
    <cellStyle name="Акцент1 3" xfId="109"/>
    <cellStyle name="Акцент1_уточнення" xfId="110"/>
    <cellStyle name="Акцент2" xfId="111"/>
    <cellStyle name="Акцент2 2" xfId="112"/>
    <cellStyle name="Акцент2 3" xfId="113"/>
    <cellStyle name="Акцент2_уточнення" xfId="114"/>
    <cellStyle name="Акцент3" xfId="115"/>
    <cellStyle name="Акцент3 2" xfId="116"/>
    <cellStyle name="Акцент3 3" xfId="117"/>
    <cellStyle name="Акцент3_уточнення" xfId="118"/>
    <cellStyle name="Акцент4" xfId="119"/>
    <cellStyle name="Акцент4 2" xfId="120"/>
    <cellStyle name="Акцент4 3" xfId="121"/>
    <cellStyle name="Акцент4_уточнення" xfId="122"/>
    <cellStyle name="Акцент5" xfId="123"/>
    <cellStyle name="Акцент5 2" xfId="124"/>
    <cellStyle name="Акцент5 3" xfId="125"/>
    <cellStyle name="Акцент5_уточнення" xfId="126"/>
    <cellStyle name="Акцент6" xfId="127"/>
    <cellStyle name="Акцент6 2" xfId="128"/>
    <cellStyle name="Акцент6 3" xfId="129"/>
    <cellStyle name="Акцент6_уточнення" xfId="130"/>
    <cellStyle name="Акцентування1" xfId="131"/>
    <cellStyle name="Акцентування2" xfId="132"/>
    <cellStyle name="Акцентування3" xfId="133"/>
    <cellStyle name="Акцентування4" xfId="134"/>
    <cellStyle name="Акцентування5" xfId="135"/>
    <cellStyle name="Акцентування6" xfId="136"/>
    <cellStyle name="Ввід" xfId="137"/>
    <cellStyle name="Ввод " xfId="138"/>
    <cellStyle name="Ввод  2" xfId="139"/>
    <cellStyle name="Ввод  3" xfId="140"/>
    <cellStyle name="Вывод" xfId="141"/>
    <cellStyle name="Вывод 2" xfId="142"/>
    <cellStyle name="Вывод 3" xfId="143"/>
    <cellStyle name="Вывод_уточнення" xfId="144"/>
    <cellStyle name="Вычисление" xfId="145"/>
    <cellStyle name="Вычисление 2" xfId="146"/>
    <cellStyle name="Вычисление 3" xfId="147"/>
    <cellStyle name="Вычисление_уточнення" xfId="148"/>
    <cellStyle name="Hyperlink" xfId="149"/>
    <cellStyle name="Гиперссылка 2" xfId="150"/>
    <cellStyle name="Currency" xfId="151"/>
    <cellStyle name="Currency [0]" xfId="152"/>
    <cellStyle name="Денежный 2" xfId="153"/>
    <cellStyle name="Денежный 3" xfId="154"/>
    <cellStyle name="Денежный 3 2" xfId="155"/>
    <cellStyle name="Добре" xfId="156"/>
    <cellStyle name="Заголовок 1" xfId="157"/>
    <cellStyle name="Заголовок 1 2" xfId="158"/>
    <cellStyle name="Заголовок 1 3" xfId="159"/>
    <cellStyle name="Заголовок 2" xfId="160"/>
    <cellStyle name="Заголовок 2 2" xfId="161"/>
    <cellStyle name="Заголовок 2 3" xfId="162"/>
    <cellStyle name="Заголовок 3" xfId="163"/>
    <cellStyle name="Заголовок 3 2" xfId="164"/>
    <cellStyle name="Заголовок 3 3" xfId="165"/>
    <cellStyle name="Заголовок 4" xfId="166"/>
    <cellStyle name="Заголовок 4 2" xfId="167"/>
    <cellStyle name="Заголовок 4 3" xfId="168"/>
    <cellStyle name="Звичайний 10" xfId="169"/>
    <cellStyle name="Звичайний 11" xfId="170"/>
    <cellStyle name="Звичайний 12" xfId="171"/>
    <cellStyle name="Звичайний 13" xfId="172"/>
    <cellStyle name="Звичайний 14" xfId="173"/>
    <cellStyle name="Звичайний 15" xfId="174"/>
    <cellStyle name="Звичайний 16" xfId="175"/>
    <cellStyle name="Звичайний 17" xfId="176"/>
    <cellStyle name="Звичайний 18" xfId="177"/>
    <cellStyle name="Звичайний 19" xfId="178"/>
    <cellStyle name="Звичайний 2" xfId="179"/>
    <cellStyle name="Звичайний 20" xfId="180"/>
    <cellStyle name="Звичайний 3" xfId="181"/>
    <cellStyle name="Звичайний 4" xfId="182"/>
    <cellStyle name="Звичайний 5" xfId="183"/>
    <cellStyle name="Звичайний 6" xfId="184"/>
    <cellStyle name="Звичайний 7" xfId="185"/>
    <cellStyle name="Звичайний 8" xfId="186"/>
    <cellStyle name="Звичайний 9" xfId="187"/>
    <cellStyle name="Звичайний_Xl0000125" xfId="188"/>
    <cellStyle name="Звичайний_Додаток _ 3 зм_ни 4575" xfId="189"/>
    <cellStyle name="Зв'язана клітинка" xfId="190"/>
    <cellStyle name="Итог" xfId="191"/>
    <cellStyle name="Итог 2" xfId="192"/>
    <cellStyle name="Итог 3" xfId="193"/>
    <cellStyle name="Итог_уточнення" xfId="194"/>
    <cellStyle name="Контрольна клітинка" xfId="195"/>
    <cellStyle name="Контрольная ячейка" xfId="196"/>
    <cellStyle name="Контрольная ячейка 2" xfId="197"/>
    <cellStyle name="Контрольная ячейка 3" xfId="198"/>
    <cellStyle name="Назва" xfId="199"/>
    <cellStyle name="Название" xfId="200"/>
    <cellStyle name="Название 2" xfId="201"/>
    <cellStyle name="Название 3" xfId="202"/>
    <cellStyle name="Нейтральный" xfId="203"/>
    <cellStyle name="Нейтральный 2" xfId="204"/>
    <cellStyle name="Нейтральный 3" xfId="205"/>
    <cellStyle name="Нейтральный_уточнення" xfId="206"/>
    <cellStyle name="Обчислення" xfId="207"/>
    <cellStyle name="Обычный 10" xfId="208"/>
    <cellStyle name="Обычный 11" xfId="209"/>
    <cellStyle name="Обычный 12" xfId="210"/>
    <cellStyle name="Обычный 13" xfId="211"/>
    <cellStyle name="Обычный 14" xfId="212"/>
    <cellStyle name="Обычный 15" xfId="213"/>
    <cellStyle name="Обычный 16" xfId="214"/>
    <cellStyle name="Обычный 18" xfId="215"/>
    <cellStyle name="Обычный 2" xfId="216"/>
    <cellStyle name="Обычный 2 2" xfId="217"/>
    <cellStyle name="Обычный 2 3" xfId="218"/>
    <cellStyle name="Обычный 2 4" xfId="219"/>
    <cellStyle name="Обычный 2 5" xfId="220"/>
    <cellStyle name="Обычный 2 6" xfId="221"/>
    <cellStyle name="Обычный 2 7" xfId="222"/>
    <cellStyle name="Обычный 2 8" xfId="223"/>
    <cellStyle name="Обычный 2 9"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3" xfId="233"/>
    <cellStyle name="Обычный 4_додаткові пропозиції" xfId="234"/>
    <cellStyle name="Обычный 43" xfId="235"/>
    <cellStyle name="Обычный 5" xfId="236"/>
    <cellStyle name="Обычный 6" xfId="237"/>
    <cellStyle name="Обычный 6 2" xfId="238"/>
    <cellStyle name="Обычный 7" xfId="239"/>
    <cellStyle name="Обычный 8" xfId="240"/>
    <cellStyle name="Обычный 9" xfId="241"/>
    <cellStyle name="Обычный 9 2" xfId="242"/>
    <cellStyle name="Обычный_00041601" xfId="243"/>
    <cellStyle name="Обычный_ZV1PIV98" xfId="244"/>
    <cellStyle name="Обычный_дод 2-9" xfId="245"/>
    <cellStyle name="Обычный_дод 2-9_дод  2-10. з бюджетом розвитку" xfId="246"/>
    <cellStyle name="Обычный_дод 8 до бюджету 2012" xfId="247"/>
    <cellStyle name="Обычный_дод до поясн" xfId="248"/>
    <cellStyle name="Обычный_дод.1" xfId="249"/>
    <cellStyle name="Обычный_дод.1 " xfId="250"/>
    <cellStyle name="Обычный_додаток 6" xfId="251"/>
    <cellStyle name="Обычный_додаток 6_1" xfId="252"/>
    <cellStyle name="Followed Hyperlink" xfId="253"/>
    <cellStyle name="Підсумок" xfId="254"/>
    <cellStyle name="Плохой" xfId="255"/>
    <cellStyle name="Плохой 2" xfId="256"/>
    <cellStyle name="Плохой 3" xfId="257"/>
    <cellStyle name="Плохой_уточнення" xfId="258"/>
    <cellStyle name="Поганий" xfId="259"/>
    <cellStyle name="Пояснение" xfId="260"/>
    <cellStyle name="Пояснение 2" xfId="261"/>
    <cellStyle name="Пояснение 3" xfId="262"/>
    <cellStyle name="Пояснение_уточнення" xfId="263"/>
    <cellStyle name="Примечание" xfId="264"/>
    <cellStyle name="Примечание 2" xfId="265"/>
    <cellStyle name="Примечание 3" xfId="266"/>
    <cellStyle name="Примітка" xfId="267"/>
    <cellStyle name="Percent" xfId="268"/>
    <cellStyle name="Процентный 2" xfId="269"/>
    <cellStyle name="Результат" xfId="270"/>
    <cellStyle name="Связанная ячейка" xfId="271"/>
    <cellStyle name="Связанная ячейка 2" xfId="272"/>
    <cellStyle name="Связанная ячейка 3" xfId="273"/>
    <cellStyle name="Середній" xfId="274"/>
    <cellStyle name="Стиль 1" xfId="275"/>
    <cellStyle name="Текст попередження" xfId="276"/>
    <cellStyle name="Текст пояснення" xfId="277"/>
    <cellStyle name="Текст предупреждения" xfId="278"/>
    <cellStyle name="Текст предупреждения 2" xfId="279"/>
    <cellStyle name="Текст предупреждения 3" xfId="280"/>
    <cellStyle name="Тысячи [0]_Розподіл (2)" xfId="281"/>
    <cellStyle name="Тысячи_бюджет 1998 по клас." xfId="282"/>
    <cellStyle name="Comma" xfId="283"/>
    <cellStyle name="Comma [0]" xfId="284"/>
    <cellStyle name="Финансовый 2" xfId="285"/>
    <cellStyle name="Финансовый 3" xfId="286"/>
    <cellStyle name="Финансовый 3 2" xfId="287"/>
    <cellStyle name="Хороший" xfId="288"/>
    <cellStyle name="Хороший 2" xfId="289"/>
    <cellStyle name="Хороший 3" xfId="2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75"/>
  <sheetViews>
    <sheetView showGridLines="0" showZeros="0" zoomScale="115" zoomScaleNormal="115" zoomScalePageLayoutView="0" workbookViewId="0" topLeftCell="A147">
      <selection activeCell="B154" sqref="B154"/>
    </sheetView>
  </sheetViews>
  <sheetFormatPr defaultColWidth="9.33203125" defaultRowHeight="12.75"/>
  <cols>
    <col min="1" max="1" width="12.66015625" style="452" customWidth="1"/>
    <col min="2" max="2" width="76.83203125" style="453" customWidth="1"/>
    <col min="3" max="3" width="21.33203125" style="453" customWidth="1"/>
    <col min="4" max="4" width="23.66015625" style="454" customWidth="1"/>
    <col min="5" max="5" width="19" style="615" customWidth="1"/>
    <col min="6" max="6" width="19.83203125" style="616" customWidth="1"/>
    <col min="7" max="7" width="14.66015625" style="453" hidden="1" customWidth="1"/>
    <col min="8" max="8" width="13.33203125" style="453" bestFit="1" customWidth="1"/>
    <col min="9" max="16384" width="9.33203125" style="453" customWidth="1"/>
  </cols>
  <sheetData>
    <row r="1" spans="5:6" ht="60" customHeight="1">
      <c r="E1" s="798" t="s">
        <v>947</v>
      </c>
      <c r="F1" s="799"/>
    </row>
    <row r="2" spans="5:6" ht="67.5" customHeight="1">
      <c r="E2" s="799"/>
      <c r="F2" s="799"/>
    </row>
    <row r="3" spans="1:6" ht="37.5" customHeight="1">
      <c r="A3" s="800" t="s">
        <v>948</v>
      </c>
      <c r="B3" s="800"/>
      <c r="C3" s="800"/>
      <c r="D3" s="800"/>
      <c r="E3" s="800"/>
      <c r="F3" s="800"/>
    </row>
    <row r="4" spans="1:6" ht="20.25" customHeight="1">
      <c r="A4" s="455">
        <v>23201100000</v>
      </c>
      <c r="B4" s="456"/>
      <c r="C4" s="456"/>
      <c r="D4" s="457"/>
      <c r="E4" s="458"/>
      <c r="F4" s="459"/>
    </row>
    <row r="5" spans="1:6" ht="25.5" customHeight="1">
      <c r="A5" s="460" t="s">
        <v>162</v>
      </c>
      <c r="B5" s="456"/>
      <c r="C5" s="456"/>
      <c r="D5" s="457"/>
      <c r="E5" s="458"/>
      <c r="F5" s="459" t="s">
        <v>949</v>
      </c>
    </row>
    <row r="6" spans="1:6" s="461" customFormat="1" ht="17.25" customHeight="1">
      <c r="A6" s="801" t="s">
        <v>473</v>
      </c>
      <c r="B6" s="801" t="s">
        <v>950</v>
      </c>
      <c r="C6" s="803" t="s">
        <v>163</v>
      </c>
      <c r="D6" s="804" t="s">
        <v>951</v>
      </c>
      <c r="E6" s="805" t="s">
        <v>521</v>
      </c>
      <c r="F6" s="805"/>
    </row>
    <row r="7" spans="1:6" s="464" customFormat="1" ht="27">
      <c r="A7" s="801"/>
      <c r="B7" s="802"/>
      <c r="C7" s="803"/>
      <c r="D7" s="804"/>
      <c r="E7" s="462" t="s">
        <v>522</v>
      </c>
      <c r="F7" s="463" t="s">
        <v>952</v>
      </c>
    </row>
    <row r="8" spans="1:6" s="471" customFormat="1" ht="11.25" customHeight="1">
      <c r="A8" s="465">
        <v>1</v>
      </c>
      <c r="B8" s="466">
        <v>2</v>
      </c>
      <c r="C8" s="467">
        <v>3</v>
      </c>
      <c r="D8" s="468">
        <v>4</v>
      </c>
      <c r="E8" s="469">
        <v>5</v>
      </c>
      <c r="F8" s="470">
        <v>6</v>
      </c>
    </row>
    <row r="9" spans="1:6" s="476" customFormat="1" ht="13.5">
      <c r="A9" s="472">
        <v>10000000</v>
      </c>
      <c r="B9" s="473" t="s">
        <v>953</v>
      </c>
      <c r="C9" s="474">
        <f aca="true" t="shared" si="0" ref="C9:C26">D9+E9</f>
        <v>2225423700</v>
      </c>
      <c r="D9" s="475">
        <f>D10+D22+D26+D55+D32</f>
        <v>2213468000</v>
      </c>
      <c r="E9" s="475">
        <f>E10+E22+E26+E55+E32</f>
        <v>11955700</v>
      </c>
      <c r="F9" s="475">
        <f>F10+F22+F26+F55+F32</f>
        <v>0</v>
      </c>
    </row>
    <row r="10" spans="1:9" ht="12.75">
      <c r="A10" s="477">
        <v>11000000</v>
      </c>
      <c r="B10" s="478" t="s">
        <v>954</v>
      </c>
      <c r="C10" s="479">
        <f t="shared" si="0"/>
        <v>1435507000</v>
      </c>
      <c r="D10" s="480">
        <f>D11+D17</f>
        <v>1435507000</v>
      </c>
      <c r="E10" s="480">
        <f>E11+E17</f>
        <v>0</v>
      </c>
      <c r="F10" s="479">
        <f>F11+F17</f>
        <v>0</v>
      </c>
      <c r="G10" s="481"/>
      <c r="I10" s="481"/>
    </row>
    <row r="11" spans="1:9" s="483" customFormat="1" ht="12.75">
      <c r="A11" s="477">
        <v>11010000</v>
      </c>
      <c r="B11" s="482" t="s">
        <v>955</v>
      </c>
      <c r="C11" s="479">
        <f t="shared" si="0"/>
        <v>1434207000</v>
      </c>
      <c r="D11" s="480">
        <f>SUM(D12:D16)</f>
        <v>1434207000</v>
      </c>
      <c r="E11" s="480"/>
      <c r="F11" s="479">
        <f>SUM(F12:F15)</f>
        <v>0</v>
      </c>
      <c r="G11" s="481"/>
      <c r="H11" s="453"/>
      <c r="I11" s="481"/>
    </row>
    <row r="12" spans="1:9" s="483" customFormat="1" ht="33" customHeight="1">
      <c r="A12" s="484">
        <v>11010100</v>
      </c>
      <c r="B12" s="485" t="s">
        <v>956</v>
      </c>
      <c r="C12" s="486">
        <f t="shared" si="0"/>
        <v>1281447000</v>
      </c>
      <c r="D12" s="487">
        <f>1235017000+46430000</f>
        <v>1281447000</v>
      </c>
      <c r="E12" s="488"/>
      <c r="F12" s="489"/>
      <c r="G12" s="481"/>
      <c r="H12" s="453"/>
      <c r="I12" s="481"/>
    </row>
    <row r="13" spans="1:9" s="483" customFormat="1" ht="43.5" customHeight="1">
      <c r="A13" s="484">
        <v>11010200</v>
      </c>
      <c r="B13" s="485" t="s">
        <v>957</v>
      </c>
      <c r="C13" s="486">
        <f t="shared" si="0"/>
        <v>97660000</v>
      </c>
      <c r="D13" s="487">
        <v>97660000</v>
      </c>
      <c r="E13" s="488"/>
      <c r="F13" s="489"/>
      <c r="G13" s="481"/>
      <c r="H13" s="453"/>
      <c r="I13" s="481"/>
    </row>
    <row r="14" spans="1:9" s="483" customFormat="1" ht="30" customHeight="1">
      <c r="A14" s="484">
        <v>11010400</v>
      </c>
      <c r="B14" s="485" t="s">
        <v>958</v>
      </c>
      <c r="C14" s="486">
        <f t="shared" si="0"/>
        <v>27200000</v>
      </c>
      <c r="D14" s="487">
        <v>27200000</v>
      </c>
      <c r="E14" s="488"/>
      <c r="F14" s="489"/>
      <c r="G14" s="481"/>
      <c r="H14" s="453"/>
      <c r="I14" s="481"/>
    </row>
    <row r="15" spans="1:9" s="483" customFormat="1" ht="29.25" customHeight="1">
      <c r="A15" s="484">
        <v>11010500</v>
      </c>
      <c r="B15" s="485" t="s">
        <v>959</v>
      </c>
      <c r="C15" s="486">
        <f t="shared" si="0"/>
        <v>27900000</v>
      </c>
      <c r="D15" s="487">
        <v>27900000</v>
      </c>
      <c r="E15" s="488"/>
      <c r="F15" s="489"/>
      <c r="G15" s="481"/>
      <c r="H15" s="453"/>
      <c r="I15" s="481"/>
    </row>
    <row r="16" spans="1:9" s="483" customFormat="1" ht="42" customHeight="1" hidden="1">
      <c r="A16" s="490">
        <v>11010900</v>
      </c>
      <c r="B16" s="491" t="s">
        <v>960</v>
      </c>
      <c r="C16" s="486">
        <f t="shared" si="0"/>
        <v>0</v>
      </c>
      <c r="D16" s="487"/>
      <c r="E16" s="488"/>
      <c r="F16" s="489"/>
      <c r="G16" s="481"/>
      <c r="H16" s="453"/>
      <c r="I16" s="481"/>
    </row>
    <row r="17" spans="1:6" s="483" customFormat="1" ht="12.75">
      <c r="A17" s="477">
        <v>11020000</v>
      </c>
      <c r="B17" s="478" t="s">
        <v>961</v>
      </c>
      <c r="C17" s="492">
        <f t="shared" si="0"/>
        <v>1300000</v>
      </c>
      <c r="D17" s="480">
        <f>D18+D19</f>
        <v>1300000</v>
      </c>
      <c r="E17" s="480"/>
      <c r="F17" s="479"/>
    </row>
    <row r="18" spans="1:6" ht="12" customHeight="1">
      <c r="A18" s="493">
        <v>11020200</v>
      </c>
      <c r="B18" s="485" t="s">
        <v>962</v>
      </c>
      <c r="C18" s="486">
        <f t="shared" si="0"/>
        <v>1300000</v>
      </c>
      <c r="D18" s="494">
        <v>1300000</v>
      </c>
      <c r="E18" s="494"/>
      <c r="F18" s="495"/>
    </row>
    <row r="19" spans="1:6" ht="25.5" customHeight="1" hidden="1">
      <c r="A19" s="496">
        <v>11023200</v>
      </c>
      <c r="B19" s="491" t="s">
        <v>963</v>
      </c>
      <c r="C19" s="486">
        <f t="shared" si="0"/>
        <v>0</v>
      </c>
      <c r="D19" s="494">
        <v>0</v>
      </c>
      <c r="E19" s="494"/>
      <c r="F19" s="495"/>
    </row>
    <row r="20" spans="1:6" s="483" customFormat="1" ht="12" customHeight="1" hidden="1">
      <c r="A20" s="477">
        <v>12000000</v>
      </c>
      <c r="B20" s="478" t="s">
        <v>964</v>
      </c>
      <c r="C20" s="474">
        <f t="shared" si="0"/>
        <v>0</v>
      </c>
      <c r="D20" s="480"/>
      <c r="E20" s="480"/>
      <c r="F20" s="479"/>
    </row>
    <row r="21" spans="1:6" s="499" customFormat="1" ht="13.5" hidden="1">
      <c r="A21" s="496"/>
      <c r="B21" s="491"/>
      <c r="C21" s="474">
        <f t="shared" si="0"/>
        <v>0</v>
      </c>
      <c r="D21" s="497"/>
      <c r="E21" s="497"/>
      <c r="F21" s="498"/>
    </row>
    <row r="22" spans="1:6" s="483" customFormat="1" ht="12.75">
      <c r="A22" s="477">
        <v>13000000</v>
      </c>
      <c r="B22" s="482" t="s">
        <v>965</v>
      </c>
      <c r="C22" s="479">
        <f t="shared" si="0"/>
        <v>145000</v>
      </c>
      <c r="D22" s="480">
        <f>D23</f>
        <v>145000</v>
      </c>
      <c r="E22" s="480"/>
      <c r="F22" s="479"/>
    </row>
    <row r="23" spans="1:6" s="502" customFormat="1" ht="12.75">
      <c r="A23" s="500">
        <v>13030000</v>
      </c>
      <c r="B23" s="501" t="s">
        <v>966</v>
      </c>
      <c r="C23" s="479">
        <f t="shared" si="0"/>
        <v>145000</v>
      </c>
      <c r="D23" s="480">
        <f>D25+D24</f>
        <v>145000</v>
      </c>
      <c r="E23" s="480"/>
      <c r="F23" s="479"/>
    </row>
    <row r="24" spans="1:6" s="502" customFormat="1" ht="26.25">
      <c r="A24" s="503">
        <v>13030100</v>
      </c>
      <c r="B24" s="504" t="s">
        <v>967</v>
      </c>
      <c r="C24" s="486">
        <f t="shared" si="0"/>
        <v>8000</v>
      </c>
      <c r="D24" s="505">
        <v>8000</v>
      </c>
      <c r="E24" s="480"/>
      <c r="F24" s="479"/>
    </row>
    <row r="25" spans="1:6" s="502" customFormat="1" ht="26.25">
      <c r="A25" s="496">
        <v>13030200</v>
      </c>
      <c r="B25" s="491" t="s">
        <v>968</v>
      </c>
      <c r="C25" s="486">
        <f t="shared" si="0"/>
        <v>137000</v>
      </c>
      <c r="D25" s="494">
        <v>137000</v>
      </c>
      <c r="E25" s="506"/>
      <c r="F25" s="507"/>
    </row>
    <row r="26" spans="1:6" s="502" customFormat="1" ht="12.75">
      <c r="A26" s="508">
        <v>14000000</v>
      </c>
      <c r="B26" s="509" t="s">
        <v>969</v>
      </c>
      <c r="C26" s="510">
        <f t="shared" si="0"/>
        <v>147905000</v>
      </c>
      <c r="D26" s="480">
        <f>D31+D28+D30</f>
        <v>147905000</v>
      </c>
      <c r="E26" s="506"/>
      <c r="F26" s="507"/>
    </row>
    <row r="27" spans="1:6" s="502" customFormat="1" ht="12.75">
      <c r="A27" s="508">
        <v>14020000</v>
      </c>
      <c r="B27" s="509" t="s">
        <v>970</v>
      </c>
      <c r="C27" s="510">
        <f>D27+E27</f>
        <v>14840000</v>
      </c>
      <c r="D27" s="480">
        <f>D28</f>
        <v>14840000</v>
      </c>
      <c r="E27" s="506"/>
      <c r="F27" s="507"/>
    </row>
    <row r="28" spans="1:6" s="512" customFormat="1" ht="12.75">
      <c r="A28" s="467">
        <v>14021900</v>
      </c>
      <c r="B28" s="511" t="s">
        <v>971</v>
      </c>
      <c r="C28" s="486">
        <f>D28</f>
        <v>14840000</v>
      </c>
      <c r="D28" s="505">
        <v>14840000</v>
      </c>
      <c r="E28" s="505"/>
      <c r="F28" s="507"/>
    </row>
    <row r="29" spans="1:6" s="502" customFormat="1" ht="26.25">
      <c r="A29" s="508">
        <v>14030000</v>
      </c>
      <c r="B29" s="509" t="s">
        <v>972</v>
      </c>
      <c r="C29" s="492">
        <f>D29+E29</f>
        <v>61922000</v>
      </c>
      <c r="D29" s="513">
        <f>D30</f>
        <v>61922000</v>
      </c>
      <c r="E29" s="513"/>
      <c r="F29" s="510"/>
    </row>
    <row r="30" spans="1:6" s="512" customFormat="1" ht="12.75">
      <c r="A30" s="467">
        <v>14031900</v>
      </c>
      <c r="B30" s="511" t="s">
        <v>971</v>
      </c>
      <c r="C30" s="486">
        <f>D30</f>
        <v>61922000</v>
      </c>
      <c r="D30" s="505">
        <v>61922000</v>
      </c>
      <c r="E30" s="505"/>
      <c r="F30" s="507"/>
    </row>
    <row r="31" spans="1:6" s="502" customFormat="1" ht="26.25">
      <c r="A31" s="514">
        <v>14040000</v>
      </c>
      <c r="B31" s="501" t="s">
        <v>973</v>
      </c>
      <c r="C31" s="492">
        <f>D31</f>
        <v>71143000</v>
      </c>
      <c r="D31" s="515">
        <v>71143000</v>
      </c>
      <c r="E31" s="513"/>
      <c r="F31" s="510"/>
    </row>
    <row r="32" spans="1:6" s="483" customFormat="1" ht="12.75">
      <c r="A32" s="477">
        <v>18000000</v>
      </c>
      <c r="B32" s="478" t="s">
        <v>974</v>
      </c>
      <c r="C32" s="479">
        <f>D32+E32</f>
        <v>629911000</v>
      </c>
      <c r="D32" s="480">
        <f>D33+D48+D51</f>
        <v>629911000</v>
      </c>
      <c r="E32" s="480">
        <f>E37+E48+E49+E51+E33</f>
        <v>0</v>
      </c>
      <c r="F32" s="479">
        <f>F37+F48+F49+F51+F33</f>
        <v>0</v>
      </c>
    </row>
    <row r="33" spans="1:6" s="502" customFormat="1" ht="12.75">
      <c r="A33" s="516" t="s">
        <v>975</v>
      </c>
      <c r="B33" s="517" t="s">
        <v>976</v>
      </c>
      <c r="C33" s="479">
        <f>D33+E33</f>
        <v>224811000</v>
      </c>
      <c r="D33" s="480">
        <f>D35+D36+D38+D39+D41+D42+D43+D44+D46+D47</f>
        <v>224811000</v>
      </c>
      <c r="E33" s="480">
        <f>SUM(E35:E36)</f>
        <v>0</v>
      </c>
      <c r="F33" s="510">
        <f>SUM(F35:F36)</f>
        <v>0</v>
      </c>
    </row>
    <row r="34" spans="1:6" s="502" customFormat="1" ht="13.5" hidden="1">
      <c r="A34" s="516"/>
      <c r="B34" s="518" t="s">
        <v>977</v>
      </c>
      <c r="C34" s="474"/>
      <c r="D34" s="480">
        <f>SUM(D35:D39)</f>
        <v>42878000</v>
      </c>
      <c r="E34" s="480"/>
      <c r="F34" s="510"/>
    </row>
    <row r="35" spans="1:7" s="483" customFormat="1" ht="26.25">
      <c r="A35" s="490">
        <v>18010100</v>
      </c>
      <c r="B35" s="491" t="s">
        <v>978</v>
      </c>
      <c r="C35" s="486">
        <f>D35+E35</f>
        <v>750000</v>
      </c>
      <c r="D35" s="487">
        <v>750000</v>
      </c>
      <c r="E35" s="506"/>
      <c r="F35" s="507">
        <f>E35</f>
        <v>0</v>
      </c>
      <c r="G35" s="519">
        <f>SUM(D35:D39)</f>
        <v>42878000</v>
      </c>
    </row>
    <row r="36" spans="1:6" s="483" customFormat="1" ht="26.25">
      <c r="A36" s="490">
        <v>18010200</v>
      </c>
      <c r="B36" s="491" t="s">
        <v>979</v>
      </c>
      <c r="C36" s="486">
        <f>D36+E36</f>
        <v>3320000</v>
      </c>
      <c r="D36" s="487">
        <v>3320000</v>
      </c>
      <c r="E36" s="506"/>
      <c r="F36" s="507">
        <f>E36</f>
        <v>0</v>
      </c>
    </row>
    <row r="37" spans="1:6" s="521" customFormat="1" ht="12.75" customHeight="1" hidden="1">
      <c r="A37" s="520">
        <v>18020000</v>
      </c>
      <c r="B37" s="491" t="s">
        <v>980</v>
      </c>
      <c r="C37" s="486">
        <f>D37+E37</f>
        <v>0</v>
      </c>
      <c r="D37" s="487"/>
      <c r="E37" s="494"/>
      <c r="F37" s="486"/>
    </row>
    <row r="38" spans="1:8" s="521" customFormat="1" ht="26.25">
      <c r="A38" s="520">
        <v>18010300</v>
      </c>
      <c r="B38" s="491" t="s">
        <v>981</v>
      </c>
      <c r="C38" s="486">
        <f>D38+E38</f>
        <v>3390000</v>
      </c>
      <c r="D38" s="487">
        <v>3390000</v>
      </c>
      <c r="E38" s="494"/>
      <c r="F38" s="486"/>
      <c r="H38" s="522"/>
    </row>
    <row r="39" spans="1:6" s="521" customFormat="1" ht="26.25">
      <c r="A39" s="520">
        <v>18010400</v>
      </c>
      <c r="B39" s="491" t="s">
        <v>982</v>
      </c>
      <c r="C39" s="486">
        <f>D39+E39</f>
        <v>35418000</v>
      </c>
      <c r="D39" s="523">
        <v>35418000</v>
      </c>
      <c r="E39" s="494">
        <f>SUM(E41:E44)</f>
        <v>0</v>
      </c>
      <c r="F39" s="486"/>
    </row>
    <row r="40" spans="1:6" s="521" customFormat="1" ht="13.5" hidden="1">
      <c r="A40" s="520"/>
      <c r="B40" s="524" t="s">
        <v>983</v>
      </c>
      <c r="C40" s="474"/>
      <c r="D40" s="525">
        <f>SUM(D41:D44)</f>
        <v>179783000</v>
      </c>
      <c r="E40" s="494"/>
      <c r="F40" s="486"/>
    </row>
    <row r="41" spans="1:7" s="521" customFormat="1" ht="12.75">
      <c r="A41" s="520">
        <v>18010500</v>
      </c>
      <c r="B41" s="485" t="s">
        <v>984</v>
      </c>
      <c r="C41" s="486">
        <f>D41+E41</f>
        <v>56129000</v>
      </c>
      <c r="D41" s="486">
        <v>56129000</v>
      </c>
      <c r="E41" s="494"/>
      <c r="F41" s="486"/>
      <c r="G41" s="522">
        <f>SUM(D41:D44)</f>
        <v>179783000</v>
      </c>
    </row>
    <row r="42" spans="1:6" s="521" customFormat="1" ht="12.75">
      <c r="A42" s="520">
        <v>18010600</v>
      </c>
      <c r="B42" s="485" t="s">
        <v>985</v>
      </c>
      <c r="C42" s="486">
        <f>D42+E42</f>
        <v>100300000</v>
      </c>
      <c r="D42" s="486">
        <v>100300000</v>
      </c>
      <c r="E42" s="494"/>
      <c r="F42" s="486"/>
    </row>
    <row r="43" spans="1:6" s="521" customFormat="1" ht="12.75">
      <c r="A43" s="520">
        <v>18010700</v>
      </c>
      <c r="B43" s="485" t="s">
        <v>986</v>
      </c>
      <c r="C43" s="486">
        <f>D43+E43</f>
        <v>2500000</v>
      </c>
      <c r="D43" s="486">
        <v>2500000</v>
      </c>
      <c r="E43" s="494"/>
      <c r="F43" s="486"/>
    </row>
    <row r="44" spans="1:6" s="521" customFormat="1" ht="12.75">
      <c r="A44" s="520">
        <v>18010900</v>
      </c>
      <c r="B44" s="485" t="s">
        <v>987</v>
      </c>
      <c r="C44" s="486">
        <f>D44+E44</f>
        <v>20854000</v>
      </c>
      <c r="D44" s="486">
        <v>20854000</v>
      </c>
      <c r="E44" s="494"/>
      <c r="F44" s="486"/>
    </row>
    <row r="45" spans="1:6" s="530" customFormat="1" ht="14.25" hidden="1">
      <c r="A45" s="526"/>
      <c r="B45" s="524" t="s">
        <v>988</v>
      </c>
      <c r="C45" s="527"/>
      <c r="D45" s="525">
        <f>SUM(D46:D47)</f>
        <v>2150000</v>
      </c>
      <c r="E45" s="528"/>
      <c r="F45" s="529"/>
    </row>
    <row r="46" spans="1:7" s="521" customFormat="1" ht="12.75">
      <c r="A46" s="520">
        <v>18011000</v>
      </c>
      <c r="B46" s="485" t="s">
        <v>989</v>
      </c>
      <c r="C46" s="486">
        <f aca="true" t="shared" si="1" ref="C46:C114">D46+E46</f>
        <v>1300000</v>
      </c>
      <c r="D46" s="523">
        <v>1300000</v>
      </c>
      <c r="E46" s="494"/>
      <c r="F46" s="486"/>
      <c r="G46" s="522">
        <f>D46+D47</f>
        <v>2150000</v>
      </c>
    </row>
    <row r="47" spans="1:6" s="521" customFormat="1" ht="12.75">
      <c r="A47" s="520">
        <v>18011100</v>
      </c>
      <c r="B47" s="485" t="s">
        <v>990</v>
      </c>
      <c r="C47" s="486">
        <f t="shared" si="1"/>
        <v>850000</v>
      </c>
      <c r="D47" s="523">
        <v>850000</v>
      </c>
      <c r="E47" s="494"/>
      <c r="F47" s="486"/>
    </row>
    <row r="48" spans="1:6" s="521" customFormat="1" ht="12.75">
      <c r="A48" s="531">
        <v>18030000</v>
      </c>
      <c r="B48" s="501" t="s">
        <v>991</v>
      </c>
      <c r="C48" s="510">
        <f t="shared" si="1"/>
        <v>1180000</v>
      </c>
      <c r="D48" s="515">
        <f>D49+D50</f>
        <v>1180000</v>
      </c>
      <c r="E48" s="488"/>
      <c r="F48" s="492"/>
    </row>
    <row r="49" spans="1:6" s="521" customFormat="1" ht="12.75">
      <c r="A49" s="520">
        <v>18030100</v>
      </c>
      <c r="B49" s="491" t="s">
        <v>992</v>
      </c>
      <c r="C49" s="486">
        <f t="shared" si="1"/>
        <v>1110000</v>
      </c>
      <c r="D49" s="487">
        <v>1110000</v>
      </c>
      <c r="E49" s="494"/>
      <c r="F49" s="486"/>
    </row>
    <row r="50" spans="1:6" s="532" customFormat="1" ht="12.75">
      <c r="A50" s="520">
        <v>18030200</v>
      </c>
      <c r="B50" s="491" t="s">
        <v>993</v>
      </c>
      <c r="C50" s="486">
        <f t="shared" si="1"/>
        <v>70000</v>
      </c>
      <c r="D50" s="487">
        <v>70000</v>
      </c>
      <c r="E50" s="494"/>
      <c r="F50" s="492"/>
    </row>
    <row r="51" spans="1:6" s="502" customFormat="1" ht="12.75">
      <c r="A51" s="531">
        <v>18050000</v>
      </c>
      <c r="B51" s="501" t="s">
        <v>994</v>
      </c>
      <c r="C51" s="479">
        <f t="shared" si="1"/>
        <v>403920000</v>
      </c>
      <c r="D51" s="480">
        <f>SUM(D52:D54)</f>
        <v>403920000</v>
      </c>
      <c r="E51" s="480">
        <f>E52+E53</f>
        <v>0</v>
      </c>
      <c r="F51" s="510">
        <f>E51</f>
        <v>0</v>
      </c>
    </row>
    <row r="52" spans="1:6" s="533" customFormat="1" ht="12.75">
      <c r="A52" s="493">
        <v>18050300</v>
      </c>
      <c r="B52" s="485" t="s">
        <v>995</v>
      </c>
      <c r="C52" s="486">
        <f t="shared" si="1"/>
        <v>66900000</v>
      </c>
      <c r="D52" s="494">
        <v>66900000</v>
      </c>
      <c r="E52" s="494"/>
      <c r="F52" s="495"/>
    </row>
    <row r="53" spans="1:6" s="533" customFormat="1" ht="12.75">
      <c r="A53" s="493">
        <v>18050400</v>
      </c>
      <c r="B53" s="485" t="s">
        <v>996</v>
      </c>
      <c r="C53" s="486">
        <f t="shared" si="1"/>
        <v>336954300</v>
      </c>
      <c r="D53" s="494">
        <f>338421300-1467000</f>
        <v>336954300</v>
      </c>
      <c r="E53" s="494"/>
      <c r="F53" s="495"/>
    </row>
    <row r="54" spans="1:6" s="533" customFormat="1" ht="39">
      <c r="A54" s="534">
        <v>18050500</v>
      </c>
      <c r="B54" s="535" t="s">
        <v>997</v>
      </c>
      <c r="C54" s="486">
        <f t="shared" si="1"/>
        <v>65700</v>
      </c>
      <c r="D54" s="494">
        <v>65700</v>
      </c>
      <c r="E54" s="494"/>
      <c r="F54" s="495"/>
    </row>
    <row r="55" spans="1:6" s="483" customFormat="1" ht="12.75">
      <c r="A55" s="477">
        <v>19000000</v>
      </c>
      <c r="B55" s="536" t="s">
        <v>998</v>
      </c>
      <c r="C55" s="479">
        <f t="shared" si="1"/>
        <v>11955700</v>
      </c>
      <c r="D55" s="480">
        <f>D56</f>
        <v>0</v>
      </c>
      <c r="E55" s="480">
        <f>E56</f>
        <v>11955700</v>
      </c>
      <c r="F55" s="480">
        <f>F56</f>
        <v>0</v>
      </c>
    </row>
    <row r="56" spans="1:6" s="483" customFormat="1" ht="12.75">
      <c r="A56" s="477">
        <v>19010000</v>
      </c>
      <c r="B56" s="536" t="s">
        <v>999</v>
      </c>
      <c r="C56" s="510">
        <f t="shared" si="1"/>
        <v>11955700</v>
      </c>
      <c r="D56" s="480">
        <f>SUM(D57:D64)</f>
        <v>0</v>
      </c>
      <c r="E56" s="480">
        <f>SUM(E57:E64)</f>
        <v>11955700</v>
      </c>
      <c r="F56" s="480">
        <f>SUM(F57:F64)</f>
        <v>0</v>
      </c>
    </row>
    <row r="57" spans="1:6" s="533" customFormat="1" ht="39">
      <c r="A57" s="493">
        <v>19010100</v>
      </c>
      <c r="B57" s="485" t="s">
        <v>1000</v>
      </c>
      <c r="C57" s="507">
        <f t="shared" si="1"/>
        <v>11748200</v>
      </c>
      <c r="D57" s="537"/>
      <c r="E57" s="486">
        <v>11748200</v>
      </c>
      <c r="F57" s="495"/>
    </row>
    <row r="58" spans="1:6" s="533" customFormat="1" ht="18.75" customHeight="1">
      <c r="A58" s="484">
        <v>19010200</v>
      </c>
      <c r="B58" s="485" t="s">
        <v>1001</v>
      </c>
      <c r="C58" s="507">
        <f t="shared" si="1"/>
        <v>7500</v>
      </c>
      <c r="D58" s="537"/>
      <c r="E58" s="486">
        <v>7500</v>
      </c>
      <c r="F58" s="495"/>
    </row>
    <row r="59" spans="1:6" s="533" customFormat="1" ht="26.25">
      <c r="A59" s="493">
        <v>19010300</v>
      </c>
      <c r="B59" s="485" t="s">
        <v>1002</v>
      </c>
      <c r="C59" s="507">
        <f t="shared" si="1"/>
        <v>200000</v>
      </c>
      <c r="D59" s="537"/>
      <c r="E59" s="486">
        <v>200000</v>
      </c>
      <c r="F59" s="495"/>
    </row>
    <row r="60" spans="1:6" s="533" customFormat="1" ht="24.75" customHeight="1" hidden="1">
      <c r="A60" s="493">
        <v>19010500</v>
      </c>
      <c r="B60" s="538" t="s">
        <v>1003</v>
      </c>
      <c r="C60" s="486">
        <f t="shared" si="1"/>
        <v>0</v>
      </c>
      <c r="D60" s="494">
        <v>0</v>
      </c>
      <c r="E60" s="494"/>
      <c r="F60" s="495"/>
    </row>
    <row r="61" spans="1:6" s="483" customFormat="1" ht="22.5" customHeight="1" hidden="1">
      <c r="A61" s="539" t="s">
        <v>1004</v>
      </c>
      <c r="B61" s="540" t="s">
        <v>1005</v>
      </c>
      <c r="C61" s="486">
        <f t="shared" si="1"/>
        <v>0</v>
      </c>
      <c r="D61" s="494"/>
      <c r="E61" s="480"/>
      <c r="F61" s="541"/>
    </row>
    <row r="62" spans="1:6" s="483" customFormat="1" ht="29.25" customHeight="1" hidden="1">
      <c r="A62" s="542" t="s">
        <v>1006</v>
      </c>
      <c r="B62" s="543" t="s">
        <v>1007</v>
      </c>
      <c r="C62" s="486">
        <f t="shared" si="1"/>
        <v>0</v>
      </c>
      <c r="D62" s="494"/>
      <c r="E62" s="506"/>
      <c r="F62" s="541"/>
    </row>
    <row r="63" spans="1:6" s="483" customFormat="1" ht="23.25" customHeight="1" hidden="1">
      <c r="A63" s="542" t="s">
        <v>1008</v>
      </c>
      <c r="B63" s="543" t="s">
        <v>1009</v>
      </c>
      <c r="C63" s="486">
        <f t="shared" si="1"/>
        <v>0</v>
      </c>
      <c r="D63" s="494"/>
      <c r="E63" s="506"/>
      <c r="F63" s="541"/>
    </row>
    <row r="64" spans="1:6" s="483" customFormat="1" ht="22.5" customHeight="1" hidden="1">
      <c r="A64" s="542" t="s">
        <v>1010</v>
      </c>
      <c r="B64" s="543" t="s">
        <v>1011</v>
      </c>
      <c r="C64" s="486">
        <f t="shared" si="1"/>
        <v>0</v>
      </c>
      <c r="D64" s="494"/>
      <c r="E64" s="506"/>
      <c r="F64" s="541"/>
    </row>
    <row r="65" spans="1:6" s="476" customFormat="1" ht="13.5">
      <c r="A65" s="477">
        <v>20000000</v>
      </c>
      <c r="B65" s="544" t="s">
        <v>1012</v>
      </c>
      <c r="C65" s="474">
        <f t="shared" si="1"/>
        <v>134882986</v>
      </c>
      <c r="D65" s="475">
        <f>D66+D76+D88+D102</f>
        <v>55096900</v>
      </c>
      <c r="E65" s="475">
        <f>E66+E76+E88+E102</f>
        <v>79786086</v>
      </c>
      <c r="F65" s="474">
        <f>F66+F76+F88+F102</f>
        <v>4524000</v>
      </c>
    </row>
    <row r="66" spans="1:6" ht="12.75">
      <c r="A66" s="477">
        <v>21000000</v>
      </c>
      <c r="B66" s="478" t="s">
        <v>1013</v>
      </c>
      <c r="C66" s="479">
        <f t="shared" si="1"/>
        <v>13302000</v>
      </c>
      <c r="D66" s="480">
        <f>D67+D69+D70</f>
        <v>13302000</v>
      </c>
      <c r="E66" s="480">
        <f>SUM(E68:E74)</f>
        <v>0</v>
      </c>
      <c r="F66" s="479"/>
    </row>
    <row r="67" spans="1:6" ht="52.5">
      <c r="A67" s="477">
        <v>21010000</v>
      </c>
      <c r="B67" s="501" t="s">
        <v>1014</v>
      </c>
      <c r="C67" s="479">
        <f t="shared" si="1"/>
        <v>1400000</v>
      </c>
      <c r="D67" s="480">
        <f>D68</f>
        <v>1400000</v>
      </c>
      <c r="E67" s="480"/>
      <c r="F67" s="479"/>
    </row>
    <row r="68" spans="1:6" s="545" customFormat="1" ht="26.25">
      <c r="A68" s="493">
        <v>21010300</v>
      </c>
      <c r="B68" s="485" t="s">
        <v>1015</v>
      </c>
      <c r="C68" s="486">
        <f t="shared" si="1"/>
        <v>1400000</v>
      </c>
      <c r="D68" s="494">
        <v>1400000</v>
      </c>
      <c r="E68" s="494"/>
      <c r="F68" s="495"/>
    </row>
    <row r="69" spans="1:6" s="545" customFormat="1" ht="12.75">
      <c r="A69" s="493">
        <v>21050000</v>
      </c>
      <c r="B69" s="485" t="s">
        <v>1016</v>
      </c>
      <c r="C69" s="486">
        <f t="shared" si="1"/>
        <v>9290000</v>
      </c>
      <c r="D69" s="494">
        <v>9290000</v>
      </c>
      <c r="E69" s="494"/>
      <c r="F69" s="495"/>
    </row>
    <row r="70" spans="1:6" s="532" customFormat="1" ht="12.75">
      <c r="A70" s="531">
        <v>21080000</v>
      </c>
      <c r="B70" s="501" t="s">
        <v>1017</v>
      </c>
      <c r="C70" s="492">
        <f t="shared" si="1"/>
        <v>2612000</v>
      </c>
      <c r="D70" s="515">
        <f>D71+D72+D73+D75</f>
        <v>2612000</v>
      </c>
      <c r="E70" s="515"/>
      <c r="F70" s="492"/>
    </row>
    <row r="71" spans="1:6" s="545" customFormat="1" ht="12.75" hidden="1">
      <c r="A71" s="493">
        <v>21080500</v>
      </c>
      <c r="B71" s="485" t="s">
        <v>1018</v>
      </c>
      <c r="C71" s="486">
        <f t="shared" si="1"/>
        <v>0</v>
      </c>
      <c r="D71" s="494"/>
      <c r="E71" s="494"/>
      <c r="F71" s="495"/>
    </row>
    <row r="72" spans="1:6" s="545" customFormat="1" ht="39" hidden="1">
      <c r="A72" s="493">
        <v>21080900</v>
      </c>
      <c r="B72" s="485" t="s">
        <v>1019</v>
      </c>
      <c r="C72" s="486">
        <f t="shared" si="1"/>
        <v>0</v>
      </c>
      <c r="D72" s="494"/>
      <c r="E72" s="494"/>
      <c r="F72" s="495"/>
    </row>
    <row r="73" spans="1:6" s="545" customFormat="1" ht="12.75">
      <c r="A73" s="493">
        <v>21081100</v>
      </c>
      <c r="B73" s="485" t="s">
        <v>1020</v>
      </c>
      <c r="C73" s="486">
        <f t="shared" si="1"/>
        <v>1762000</v>
      </c>
      <c r="D73" s="494">
        <v>1762000</v>
      </c>
      <c r="E73" s="494"/>
      <c r="F73" s="495"/>
    </row>
    <row r="74" spans="1:6" ht="26.25" hidden="1">
      <c r="A74" s="477">
        <v>21110000</v>
      </c>
      <c r="B74" s="478" t="s">
        <v>1021</v>
      </c>
      <c r="C74" s="486">
        <f t="shared" si="1"/>
        <v>0</v>
      </c>
      <c r="D74" s="480"/>
      <c r="E74" s="480">
        <v>0</v>
      </c>
      <c r="F74" s="479"/>
    </row>
    <row r="75" spans="1:6" s="512" customFormat="1" ht="26.25">
      <c r="A75" s="546">
        <v>21081500</v>
      </c>
      <c r="B75" s="547" t="s">
        <v>1022</v>
      </c>
      <c r="C75" s="486">
        <f t="shared" si="1"/>
        <v>850000</v>
      </c>
      <c r="D75" s="506">
        <v>850000</v>
      </c>
      <c r="E75" s="480"/>
      <c r="F75" s="510"/>
    </row>
    <row r="76" spans="1:6" s="483" customFormat="1" ht="24" customHeight="1">
      <c r="A76" s="477">
        <v>22000000</v>
      </c>
      <c r="B76" s="478" t="s">
        <v>1023</v>
      </c>
      <c r="C76" s="479">
        <f t="shared" si="1"/>
        <v>34024000</v>
      </c>
      <c r="D76" s="480">
        <f>D82+D84+D77</f>
        <v>34024000</v>
      </c>
      <c r="E76" s="480"/>
      <c r="F76" s="479"/>
    </row>
    <row r="77" spans="1:6" s="483" customFormat="1" ht="12.75">
      <c r="A77" s="477">
        <v>22010000</v>
      </c>
      <c r="B77" s="478" t="s">
        <v>1024</v>
      </c>
      <c r="C77" s="479">
        <f t="shared" si="1"/>
        <v>25021000</v>
      </c>
      <c r="D77" s="480">
        <f>D78+D79+D80+D81</f>
        <v>25021000</v>
      </c>
      <c r="E77" s="480"/>
      <c r="F77" s="479"/>
    </row>
    <row r="78" spans="1:6" ht="26.25">
      <c r="A78" s="493">
        <v>22010300</v>
      </c>
      <c r="B78" s="548" t="s">
        <v>1025</v>
      </c>
      <c r="C78" s="507">
        <f t="shared" si="1"/>
        <v>1892000</v>
      </c>
      <c r="D78" s="506">
        <v>1892000</v>
      </c>
      <c r="E78" s="506"/>
      <c r="F78" s="541"/>
    </row>
    <row r="79" spans="1:6" ht="12.75">
      <c r="A79" s="493">
        <v>22012500</v>
      </c>
      <c r="B79" s="485" t="s">
        <v>1026</v>
      </c>
      <c r="C79" s="507">
        <f t="shared" si="1"/>
        <v>22038000</v>
      </c>
      <c r="D79" s="506">
        <v>22038000</v>
      </c>
      <c r="E79" s="506"/>
      <c r="F79" s="541"/>
    </row>
    <row r="80" spans="1:6" ht="24" customHeight="1">
      <c r="A80" s="493">
        <v>22012600</v>
      </c>
      <c r="B80" s="548" t="s">
        <v>1027</v>
      </c>
      <c r="C80" s="507">
        <f t="shared" si="1"/>
        <v>1061000</v>
      </c>
      <c r="D80" s="506">
        <v>1061000</v>
      </c>
      <c r="E80" s="506"/>
      <c r="F80" s="541"/>
    </row>
    <row r="81" spans="1:6" ht="52.5">
      <c r="A81" s="493">
        <v>22012900</v>
      </c>
      <c r="B81" s="485" t="s">
        <v>1028</v>
      </c>
      <c r="C81" s="507">
        <f t="shared" si="1"/>
        <v>30000</v>
      </c>
      <c r="D81" s="506">
        <v>30000</v>
      </c>
      <c r="E81" s="506"/>
      <c r="F81" s="541"/>
    </row>
    <row r="82" spans="1:6" ht="26.25" customHeight="1">
      <c r="A82" s="477">
        <v>22080000</v>
      </c>
      <c r="B82" s="478" t="s">
        <v>1029</v>
      </c>
      <c r="C82" s="479">
        <f t="shared" si="1"/>
        <v>7800000</v>
      </c>
      <c r="D82" s="480">
        <f>D83</f>
        <v>7800000</v>
      </c>
      <c r="E82" s="480"/>
      <c r="F82" s="479"/>
    </row>
    <row r="83" spans="1:6" s="545" customFormat="1" ht="26.25">
      <c r="A83" s="493">
        <v>22080400</v>
      </c>
      <c r="B83" s="485" t="s">
        <v>1030</v>
      </c>
      <c r="C83" s="486">
        <f t="shared" si="1"/>
        <v>7800000</v>
      </c>
      <c r="D83" s="494">
        <v>7800000</v>
      </c>
      <c r="E83" s="494"/>
      <c r="F83" s="495"/>
    </row>
    <row r="84" spans="1:6" s="483" customFormat="1" ht="12.75">
      <c r="A84" s="477">
        <v>22090000</v>
      </c>
      <c r="B84" s="478" t="s">
        <v>1031</v>
      </c>
      <c r="C84" s="479">
        <f t="shared" si="1"/>
        <v>1203000</v>
      </c>
      <c r="D84" s="480">
        <f>SUM(D85:D87)</f>
        <v>1203000</v>
      </c>
      <c r="E84" s="480"/>
      <c r="F84" s="479"/>
    </row>
    <row r="85" spans="1:6" s="533" customFormat="1" ht="26.25">
      <c r="A85" s="549">
        <v>22090100</v>
      </c>
      <c r="B85" s="485" t="s">
        <v>1032</v>
      </c>
      <c r="C85" s="486">
        <f t="shared" si="1"/>
        <v>830800</v>
      </c>
      <c r="D85" s="550">
        <v>830800</v>
      </c>
      <c r="E85" s="488"/>
      <c r="F85" s="489"/>
    </row>
    <row r="86" spans="1:6" s="533" customFormat="1" ht="13.5">
      <c r="A86" s="549">
        <v>22090200</v>
      </c>
      <c r="B86" s="485" t="s">
        <v>1033</v>
      </c>
      <c r="C86" s="486">
        <f t="shared" si="1"/>
        <v>1200</v>
      </c>
      <c r="D86" s="550">
        <v>1200</v>
      </c>
      <c r="E86" s="488"/>
      <c r="F86" s="489"/>
    </row>
    <row r="87" spans="1:6" s="554" customFormat="1" ht="26.25">
      <c r="A87" s="551">
        <v>22090400</v>
      </c>
      <c r="B87" s="552" t="s">
        <v>1034</v>
      </c>
      <c r="C87" s="495">
        <f t="shared" si="1"/>
        <v>371000</v>
      </c>
      <c r="D87" s="550">
        <v>371000</v>
      </c>
      <c r="E87" s="488"/>
      <c r="F87" s="553"/>
    </row>
    <row r="88" spans="1:6" s="483" customFormat="1" ht="12.75">
      <c r="A88" s="477">
        <v>24000000</v>
      </c>
      <c r="B88" s="478" t="s">
        <v>1035</v>
      </c>
      <c r="C88" s="479">
        <f t="shared" si="1"/>
        <v>12417900</v>
      </c>
      <c r="D88" s="480">
        <f>D89+D90+D98+D101</f>
        <v>7770900</v>
      </c>
      <c r="E88" s="480">
        <f>E93+E100+E101+E99</f>
        <v>4647000</v>
      </c>
      <c r="F88" s="479">
        <f>F93+F100+F101+F99</f>
        <v>4524000</v>
      </c>
    </row>
    <row r="89" spans="1:6" s="483" customFormat="1" ht="26.25" hidden="1">
      <c r="A89" s="493">
        <v>24030000</v>
      </c>
      <c r="B89" s="555" t="s">
        <v>1036</v>
      </c>
      <c r="C89" s="486">
        <f t="shared" si="1"/>
        <v>0</v>
      </c>
      <c r="D89" s="506"/>
      <c r="E89" s="506"/>
      <c r="F89" s="541"/>
    </row>
    <row r="90" spans="1:6" s="502" customFormat="1" ht="12.75">
      <c r="A90" s="531">
        <v>24060000</v>
      </c>
      <c r="B90" s="501" t="s">
        <v>1018</v>
      </c>
      <c r="C90" s="492">
        <f t="shared" si="1"/>
        <v>7770900</v>
      </c>
      <c r="D90" s="513">
        <f>D91+D92+D97</f>
        <v>7770900</v>
      </c>
      <c r="E90" s="513">
        <f>E91+E92</f>
        <v>0</v>
      </c>
      <c r="F90" s="510"/>
    </row>
    <row r="91" spans="1:6" s="545" customFormat="1" ht="12.75">
      <c r="A91" s="493">
        <v>24060300</v>
      </c>
      <c r="B91" s="485" t="s">
        <v>1018</v>
      </c>
      <c r="C91" s="486">
        <f t="shared" si="1"/>
        <v>6965000</v>
      </c>
      <c r="D91" s="494">
        <v>6965000</v>
      </c>
      <c r="E91" s="494"/>
      <c r="F91" s="495"/>
    </row>
    <row r="92" spans="1:6" s="545" customFormat="1" ht="40.5" customHeight="1">
      <c r="A92" s="493">
        <v>24061900</v>
      </c>
      <c r="B92" s="485" t="s">
        <v>1037</v>
      </c>
      <c r="C92" s="486">
        <f t="shared" si="1"/>
        <v>55000</v>
      </c>
      <c r="D92" s="494">
        <v>55000</v>
      </c>
      <c r="E92" s="494"/>
      <c r="F92" s="495"/>
    </row>
    <row r="93" spans="1:7" s="545" customFormat="1" ht="27.75" customHeight="1">
      <c r="A93" s="493">
        <v>24062100</v>
      </c>
      <c r="B93" s="555" t="s">
        <v>1038</v>
      </c>
      <c r="C93" s="486">
        <f t="shared" si="1"/>
        <v>20000</v>
      </c>
      <c r="D93" s="494"/>
      <c r="E93" s="494">
        <v>20000</v>
      </c>
      <c r="F93" s="495"/>
      <c r="G93" s="533"/>
    </row>
    <row r="94" spans="1:6" s="545" customFormat="1" ht="36" customHeight="1" hidden="1">
      <c r="A94" s="493"/>
      <c r="B94" s="485"/>
      <c r="C94" s="486">
        <f t="shared" si="1"/>
        <v>1000</v>
      </c>
      <c r="D94" s="494"/>
      <c r="E94" s="494">
        <v>1000</v>
      </c>
      <c r="F94" s="495"/>
    </row>
    <row r="95" spans="1:6" s="545" customFormat="1" ht="12.75" hidden="1">
      <c r="A95" s="493"/>
      <c r="B95" s="485"/>
      <c r="C95" s="486">
        <f t="shared" si="1"/>
        <v>1000</v>
      </c>
      <c r="D95" s="494"/>
      <c r="E95" s="494">
        <v>1000</v>
      </c>
      <c r="F95" s="495"/>
    </row>
    <row r="96" spans="1:6" s="545" customFormat="1" ht="39" hidden="1">
      <c r="A96" s="493">
        <v>24062000</v>
      </c>
      <c r="B96" s="485" t="s">
        <v>1039</v>
      </c>
      <c r="C96" s="486">
        <f t="shared" si="1"/>
        <v>1000</v>
      </c>
      <c r="D96" s="494"/>
      <c r="E96" s="494">
        <v>1000</v>
      </c>
      <c r="F96" s="495"/>
    </row>
    <row r="97" spans="1:6" s="545" customFormat="1" ht="78.75">
      <c r="A97" s="493">
        <v>24062200</v>
      </c>
      <c r="B97" s="485" t="s">
        <v>1040</v>
      </c>
      <c r="C97" s="486">
        <f t="shared" si="1"/>
        <v>750900</v>
      </c>
      <c r="D97" s="494">
        <v>750900</v>
      </c>
      <c r="E97" s="494"/>
      <c r="F97" s="495"/>
    </row>
    <row r="98" spans="1:6" s="532" customFormat="1" ht="12.75">
      <c r="A98" s="531">
        <v>24110000</v>
      </c>
      <c r="B98" s="501" t="s">
        <v>1041</v>
      </c>
      <c r="C98" s="492">
        <f t="shared" si="1"/>
        <v>127000</v>
      </c>
      <c r="D98" s="515">
        <f>D99+D100</f>
        <v>0</v>
      </c>
      <c r="E98" s="515">
        <f>E99+E100</f>
        <v>127000</v>
      </c>
      <c r="F98" s="515">
        <f>F99+F100</f>
        <v>24000</v>
      </c>
    </row>
    <row r="99" spans="1:6" s="545" customFormat="1" ht="29.25" customHeight="1">
      <c r="A99" s="493">
        <v>24110700</v>
      </c>
      <c r="B99" s="485" t="s">
        <v>1042</v>
      </c>
      <c r="C99" s="486">
        <f t="shared" si="1"/>
        <v>24000</v>
      </c>
      <c r="D99" s="494"/>
      <c r="E99" s="494">
        <v>24000</v>
      </c>
      <c r="F99" s="495">
        <v>24000</v>
      </c>
    </row>
    <row r="100" spans="1:6" s="545" customFormat="1" ht="39" customHeight="1">
      <c r="A100" s="493">
        <v>24110900</v>
      </c>
      <c r="B100" s="485" t="s">
        <v>1043</v>
      </c>
      <c r="C100" s="486">
        <f t="shared" si="1"/>
        <v>103000</v>
      </c>
      <c r="D100" s="494"/>
      <c r="E100" s="494">
        <v>103000</v>
      </c>
      <c r="F100" s="495"/>
    </row>
    <row r="101" spans="1:6" ht="21" customHeight="1">
      <c r="A101" s="556">
        <v>24170000</v>
      </c>
      <c r="B101" s="491" t="s">
        <v>1044</v>
      </c>
      <c r="C101" s="479">
        <f t="shared" si="1"/>
        <v>4500000</v>
      </c>
      <c r="D101" s="494"/>
      <c r="E101" s="494">
        <v>4500000</v>
      </c>
      <c r="F101" s="495">
        <f>E101</f>
        <v>4500000</v>
      </c>
    </row>
    <row r="102" spans="1:6" s="483" customFormat="1" ht="12.75">
      <c r="A102" s="477">
        <v>25000000</v>
      </c>
      <c r="B102" s="478" t="s">
        <v>1045</v>
      </c>
      <c r="C102" s="479">
        <f t="shared" si="1"/>
        <v>75139086</v>
      </c>
      <c r="D102" s="557"/>
      <c r="E102" s="480">
        <f>E103+E108</f>
        <v>75139086</v>
      </c>
      <c r="F102" s="479"/>
    </row>
    <row r="103" spans="1:6" ht="26.25">
      <c r="A103" s="477">
        <v>25010000</v>
      </c>
      <c r="B103" s="478" t="s">
        <v>1046</v>
      </c>
      <c r="C103" s="479">
        <f t="shared" si="1"/>
        <v>74659706</v>
      </c>
      <c r="D103" s="506"/>
      <c r="E103" s="480">
        <f>E104+E105+E106+E107</f>
        <v>74659706</v>
      </c>
      <c r="F103" s="479"/>
    </row>
    <row r="104" spans="1:6" s="521" customFormat="1" ht="27" customHeight="1">
      <c r="A104" s="520">
        <v>25010100</v>
      </c>
      <c r="B104" s="491" t="s">
        <v>1047</v>
      </c>
      <c r="C104" s="507">
        <f t="shared" si="1"/>
        <v>64290537</v>
      </c>
      <c r="D104" s="558"/>
      <c r="E104" s="494">
        <v>64290537</v>
      </c>
      <c r="F104" s="492"/>
    </row>
    <row r="105" spans="1:6" s="521" customFormat="1" ht="15" customHeight="1">
      <c r="A105" s="520">
        <v>25010200</v>
      </c>
      <c r="B105" s="491" t="s">
        <v>1048</v>
      </c>
      <c r="C105" s="507">
        <f t="shared" si="1"/>
        <v>6772911</v>
      </c>
      <c r="D105" s="558"/>
      <c r="E105" s="494">
        <v>6772911</v>
      </c>
      <c r="F105" s="492"/>
    </row>
    <row r="106" spans="1:6" s="521" customFormat="1" ht="34.5" customHeight="1">
      <c r="A106" s="520">
        <v>25010300</v>
      </c>
      <c r="B106" s="491" t="s">
        <v>1049</v>
      </c>
      <c r="C106" s="507">
        <f t="shared" si="1"/>
        <v>3484008</v>
      </c>
      <c r="D106" s="558"/>
      <c r="E106" s="494">
        <v>3484008</v>
      </c>
      <c r="F106" s="492"/>
    </row>
    <row r="107" spans="1:6" s="521" customFormat="1" ht="31.5" customHeight="1">
      <c r="A107" s="559">
        <v>25010400</v>
      </c>
      <c r="B107" s="491" t="s">
        <v>1050</v>
      </c>
      <c r="C107" s="507">
        <f t="shared" si="1"/>
        <v>112250</v>
      </c>
      <c r="D107" s="558"/>
      <c r="E107" s="494">
        <v>112250</v>
      </c>
      <c r="F107" s="492"/>
    </row>
    <row r="108" spans="1:6" ht="15" customHeight="1">
      <c r="A108" s="531">
        <v>25020000</v>
      </c>
      <c r="B108" s="501" t="s">
        <v>1051</v>
      </c>
      <c r="C108" s="479">
        <f t="shared" si="1"/>
        <v>479380</v>
      </c>
      <c r="D108" s="506"/>
      <c r="E108" s="480">
        <f>E109+E110</f>
        <v>479380</v>
      </c>
      <c r="F108" s="479"/>
    </row>
    <row r="109" spans="1:6" s="521" customFormat="1" ht="12.75" hidden="1">
      <c r="A109" s="520">
        <v>25020100</v>
      </c>
      <c r="B109" s="491" t="s">
        <v>1052</v>
      </c>
      <c r="C109" s="507">
        <f t="shared" si="1"/>
        <v>0</v>
      </c>
      <c r="D109" s="558"/>
      <c r="E109" s="523"/>
      <c r="F109" s="486"/>
    </row>
    <row r="110" spans="1:6" s="521" customFormat="1" ht="47.25" customHeight="1">
      <c r="A110" s="520">
        <v>25020200</v>
      </c>
      <c r="B110" s="560" t="s">
        <v>1053</v>
      </c>
      <c r="C110" s="507">
        <f t="shared" si="1"/>
        <v>479380</v>
      </c>
      <c r="D110" s="558"/>
      <c r="E110" s="523">
        <v>479380</v>
      </c>
      <c r="F110" s="492"/>
    </row>
    <row r="111" spans="1:6" s="476" customFormat="1" ht="13.5">
      <c r="A111" s="477">
        <v>30000000</v>
      </c>
      <c r="B111" s="478" t="s">
        <v>1054</v>
      </c>
      <c r="C111" s="474">
        <f t="shared" si="1"/>
        <v>45309100</v>
      </c>
      <c r="D111" s="475">
        <f>D112</f>
        <v>33100</v>
      </c>
      <c r="E111" s="475">
        <f>E112+E117</f>
        <v>45276000</v>
      </c>
      <c r="F111" s="474">
        <f>F112+F117</f>
        <v>45276000</v>
      </c>
    </row>
    <row r="112" spans="1:6" s="483" customFormat="1" ht="13.5">
      <c r="A112" s="561">
        <v>31000000</v>
      </c>
      <c r="B112" s="478" t="s">
        <v>1055</v>
      </c>
      <c r="C112" s="474">
        <f t="shared" si="1"/>
        <v>36309100</v>
      </c>
      <c r="D112" s="480">
        <f>D114+D116+D115</f>
        <v>33100</v>
      </c>
      <c r="E112" s="480">
        <f>E114+E116</f>
        <v>36276000</v>
      </c>
      <c r="F112" s="479">
        <f>F114+F116</f>
        <v>36276000</v>
      </c>
    </row>
    <row r="113" spans="1:6" s="483" customFormat="1" ht="45" customHeight="1">
      <c r="A113" s="561">
        <v>31010000</v>
      </c>
      <c r="B113" s="478" t="s">
        <v>1056</v>
      </c>
      <c r="C113" s="474">
        <f t="shared" si="1"/>
        <v>33000</v>
      </c>
      <c r="D113" s="480">
        <f>D114</f>
        <v>33000</v>
      </c>
      <c r="E113" s="480">
        <f>E114</f>
        <v>0</v>
      </c>
      <c r="F113" s="480">
        <f>F114</f>
        <v>0</v>
      </c>
    </row>
    <row r="114" spans="1:6" s="533" customFormat="1" ht="39.75" customHeight="1">
      <c r="A114" s="562">
        <v>31010200</v>
      </c>
      <c r="B114" s="563" t="s">
        <v>1057</v>
      </c>
      <c r="C114" s="486">
        <f t="shared" si="1"/>
        <v>33000</v>
      </c>
      <c r="D114" s="494">
        <v>33000</v>
      </c>
      <c r="E114" s="488"/>
      <c r="F114" s="489"/>
    </row>
    <row r="115" spans="1:6" s="565" customFormat="1" ht="27" customHeight="1">
      <c r="A115" s="534">
        <v>31020000</v>
      </c>
      <c r="B115" s="535" t="s">
        <v>1058</v>
      </c>
      <c r="C115" s="486">
        <f aca="true" t="shared" si="2" ref="C115:C178">D115+E115</f>
        <v>100</v>
      </c>
      <c r="D115" s="506">
        <v>100</v>
      </c>
      <c r="E115" s="494"/>
      <c r="F115" s="564"/>
    </row>
    <row r="116" spans="1:6" s="512" customFormat="1" ht="28.5" customHeight="1">
      <c r="A116" s="496">
        <v>31030000</v>
      </c>
      <c r="B116" s="491" t="s">
        <v>1059</v>
      </c>
      <c r="C116" s="486">
        <f t="shared" si="2"/>
        <v>36276000</v>
      </c>
      <c r="D116" s="510"/>
      <c r="E116" s="486">
        <f>6276000+30000000</f>
        <v>36276000</v>
      </c>
      <c r="F116" s="486">
        <f>E116</f>
        <v>36276000</v>
      </c>
    </row>
    <row r="117" spans="1:6" s="512" customFormat="1" ht="13.5">
      <c r="A117" s="566">
        <v>33000000</v>
      </c>
      <c r="B117" s="567" t="s">
        <v>1060</v>
      </c>
      <c r="C117" s="474">
        <f t="shared" si="2"/>
        <v>9000000</v>
      </c>
      <c r="D117" s="480"/>
      <c r="E117" s="480">
        <f>E118</f>
        <v>9000000</v>
      </c>
      <c r="F117" s="510">
        <f>F118</f>
        <v>9000000</v>
      </c>
    </row>
    <row r="118" spans="1:6" s="502" customFormat="1" ht="13.5">
      <c r="A118" s="500">
        <v>33010000</v>
      </c>
      <c r="B118" s="501" t="s">
        <v>1061</v>
      </c>
      <c r="C118" s="474">
        <f t="shared" si="2"/>
        <v>9000000</v>
      </c>
      <c r="D118" s="480"/>
      <c r="E118" s="480">
        <f>F118</f>
        <v>9000000</v>
      </c>
      <c r="F118" s="510">
        <f>F119+F120</f>
        <v>9000000</v>
      </c>
    </row>
    <row r="119" spans="1:6" s="568" customFormat="1" ht="39">
      <c r="A119" s="490">
        <v>33010100</v>
      </c>
      <c r="B119" s="491" t="s">
        <v>1062</v>
      </c>
      <c r="C119" s="486">
        <f t="shared" si="2"/>
        <v>9000000</v>
      </c>
      <c r="D119" s="488"/>
      <c r="E119" s="494">
        <v>9000000</v>
      </c>
      <c r="F119" s="486">
        <f>E119</f>
        <v>9000000</v>
      </c>
    </row>
    <row r="120" spans="1:6" s="568" customFormat="1" ht="39" hidden="1">
      <c r="A120" s="490">
        <v>33010200</v>
      </c>
      <c r="B120" s="491" t="s">
        <v>1063</v>
      </c>
      <c r="C120" s="486">
        <f t="shared" si="2"/>
        <v>0</v>
      </c>
      <c r="D120" s="488"/>
      <c r="E120" s="494"/>
      <c r="F120" s="486">
        <f>E120</f>
        <v>0</v>
      </c>
    </row>
    <row r="121" spans="1:6" s="568" customFormat="1" ht="26.25" hidden="1">
      <c r="A121" s="490">
        <v>33010400</v>
      </c>
      <c r="B121" s="491" t="s">
        <v>1064</v>
      </c>
      <c r="C121" s="486">
        <f t="shared" si="2"/>
        <v>0</v>
      </c>
      <c r="D121" s="488"/>
      <c r="E121" s="494"/>
      <c r="F121" s="486">
        <f>E121</f>
        <v>0</v>
      </c>
    </row>
    <row r="122" spans="1:6" s="476" customFormat="1" ht="13.5">
      <c r="A122" s="472">
        <v>50000000</v>
      </c>
      <c r="B122" s="569" t="s">
        <v>1065</v>
      </c>
      <c r="C122" s="474">
        <f t="shared" si="2"/>
        <v>50000</v>
      </c>
      <c r="D122" s="475"/>
      <c r="E122" s="475">
        <f>E123</f>
        <v>50000</v>
      </c>
      <c r="F122" s="474"/>
    </row>
    <row r="123" spans="1:6" s="483" customFormat="1" ht="26.25" customHeight="1">
      <c r="A123" s="520">
        <v>50110000</v>
      </c>
      <c r="B123" s="570" t="s">
        <v>1066</v>
      </c>
      <c r="C123" s="474">
        <f t="shared" si="2"/>
        <v>50000</v>
      </c>
      <c r="D123" s="506"/>
      <c r="E123" s="506">
        <v>50000</v>
      </c>
      <c r="F123" s="507"/>
    </row>
    <row r="124" spans="1:8" s="476" customFormat="1" ht="15.75" customHeight="1">
      <c r="A124" s="472"/>
      <c r="B124" s="473" t="s">
        <v>1067</v>
      </c>
      <c r="C124" s="474">
        <f t="shared" si="2"/>
        <v>2405665786</v>
      </c>
      <c r="D124" s="475">
        <f>D65+D9+D111</f>
        <v>2268598000</v>
      </c>
      <c r="E124" s="475">
        <f>E65+E9+E111+E122</f>
        <v>137067786</v>
      </c>
      <c r="F124" s="474">
        <f>F65+F9+F111</f>
        <v>49800000</v>
      </c>
      <c r="H124" s="571"/>
    </row>
    <row r="125" spans="1:6" s="483" customFormat="1" ht="15.75" customHeight="1" hidden="1">
      <c r="A125" s="472"/>
      <c r="B125" s="473"/>
      <c r="C125" s="474" t="e">
        <f t="shared" si="2"/>
        <v>#REF!</v>
      </c>
      <c r="D125" s="475" t="e">
        <f>D11+#REF!+D84</f>
        <v>#REF!</v>
      </c>
      <c r="E125" s="475"/>
      <c r="F125" s="474"/>
    </row>
    <row r="126" spans="1:6" s="483" customFormat="1" ht="15.75" customHeight="1" hidden="1">
      <c r="A126" s="472"/>
      <c r="B126" s="473"/>
      <c r="C126" s="474">
        <f t="shared" si="2"/>
        <v>0</v>
      </c>
      <c r="D126" s="475"/>
      <c r="E126" s="475"/>
      <c r="F126" s="474"/>
    </row>
    <row r="127" spans="1:6" s="572" customFormat="1" ht="13.5">
      <c r="A127" s="472">
        <v>40000000</v>
      </c>
      <c r="B127" s="473" t="s">
        <v>1068</v>
      </c>
      <c r="C127" s="474">
        <f>D127+E127</f>
        <v>477561368</v>
      </c>
      <c r="D127" s="475">
        <f>D128+D130+D136</f>
        <v>474236368</v>
      </c>
      <c r="E127" s="475">
        <f>E128+E130+E136</f>
        <v>3325000</v>
      </c>
      <c r="F127" s="475">
        <f>F128+F130+F136</f>
        <v>325000</v>
      </c>
    </row>
    <row r="128" spans="1:6" ht="12.75">
      <c r="A128" s="477">
        <v>41040000</v>
      </c>
      <c r="B128" s="573" t="s">
        <v>1069</v>
      </c>
      <c r="C128" s="479">
        <f>C129</f>
        <v>20849500</v>
      </c>
      <c r="D128" s="479">
        <f>D129</f>
        <v>20849500</v>
      </c>
      <c r="E128" s="480"/>
      <c r="F128" s="479"/>
    </row>
    <row r="129" spans="1:6" s="545" customFormat="1" ht="37.5" customHeight="1">
      <c r="A129" s="574">
        <v>41040200</v>
      </c>
      <c r="B129" s="575" t="s">
        <v>1070</v>
      </c>
      <c r="C129" s="486">
        <f t="shared" si="2"/>
        <v>20849500</v>
      </c>
      <c r="D129" s="494">
        <v>20849500</v>
      </c>
      <c r="E129" s="494"/>
      <c r="F129" s="495"/>
    </row>
    <row r="130" spans="1:6" s="502" customFormat="1" ht="12.75">
      <c r="A130" s="531">
        <v>41030000</v>
      </c>
      <c r="B130" s="576" t="s">
        <v>1071</v>
      </c>
      <c r="C130" s="510">
        <f>SUM(C131:C135)</f>
        <v>418974087</v>
      </c>
      <c r="D130" s="510">
        <f>SUM(D131:D135)</f>
        <v>418974087</v>
      </c>
      <c r="E130" s="513"/>
      <c r="F130" s="510"/>
    </row>
    <row r="131" spans="1:6" s="502" customFormat="1" ht="26.25" hidden="1">
      <c r="A131" s="520">
        <v>41033800</v>
      </c>
      <c r="B131" s="570" t="s">
        <v>1072</v>
      </c>
      <c r="C131" s="507">
        <f t="shared" si="2"/>
        <v>0</v>
      </c>
      <c r="D131" s="507"/>
      <c r="E131" s="505"/>
      <c r="F131" s="507"/>
    </row>
    <row r="132" spans="1:7" s="581" customFormat="1" ht="12.75">
      <c r="A132" s="577">
        <v>41033900</v>
      </c>
      <c r="B132" s="552" t="s">
        <v>1073</v>
      </c>
      <c r="C132" s="507">
        <f t="shared" si="2"/>
        <v>353372100</v>
      </c>
      <c r="D132" s="578">
        <f>340062100+13310000</f>
        <v>353372100</v>
      </c>
      <c r="E132" s="578"/>
      <c r="F132" s="579"/>
      <c r="G132" s="580"/>
    </row>
    <row r="133" spans="1:6" s="581" customFormat="1" ht="12.75">
      <c r="A133" s="577">
        <v>41034200</v>
      </c>
      <c r="B133" s="552" t="s">
        <v>1074</v>
      </c>
      <c r="C133" s="507">
        <f t="shared" si="2"/>
        <v>55253600</v>
      </c>
      <c r="D133" s="578">
        <v>55253600</v>
      </c>
      <c r="E133" s="578"/>
      <c r="F133" s="579"/>
    </row>
    <row r="134" spans="1:6" s="581" customFormat="1" ht="30" customHeight="1">
      <c r="A134" s="577">
        <v>41034500</v>
      </c>
      <c r="B134" s="552" t="s">
        <v>1075</v>
      </c>
      <c r="C134" s="507">
        <f t="shared" si="2"/>
        <v>10348387</v>
      </c>
      <c r="D134" s="578">
        <v>10348387</v>
      </c>
      <c r="E134" s="578"/>
      <c r="F134" s="579"/>
    </row>
    <row r="135" spans="1:6" s="581" customFormat="1" ht="30" customHeight="1" hidden="1">
      <c r="A135" s="577">
        <v>41037400</v>
      </c>
      <c r="B135" s="552" t="s">
        <v>1076</v>
      </c>
      <c r="C135" s="507">
        <f t="shared" si="2"/>
        <v>0</v>
      </c>
      <c r="D135" s="578"/>
      <c r="E135" s="578"/>
      <c r="F135" s="579"/>
    </row>
    <row r="136" spans="1:6" ht="12.75">
      <c r="A136" s="477">
        <v>41050000</v>
      </c>
      <c r="B136" s="573" t="s">
        <v>1077</v>
      </c>
      <c r="C136" s="510">
        <f>D136+E136</f>
        <v>37737781</v>
      </c>
      <c r="D136" s="480">
        <f>D139+D137+D143+D156+D148+D138+D147+D149+D153+D154+D140+D144+D175+D141+D142+D174+D176+D155</f>
        <v>34412781</v>
      </c>
      <c r="E136" s="480">
        <f>E139+E137+E143+E156+E148+E138+E147+E149+E153+E154+E140+E144+E175+E141+E142+E174+E176+E155</f>
        <v>3325000</v>
      </c>
      <c r="F136" s="479">
        <f>F139+F137+F143+F156</f>
        <v>325000</v>
      </c>
    </row>
    <row r="137" spans="1:6" ht="117" customHeight="1" hidden="1">
      <c r="A137" s="493">
        <v>41050100</v>
      </c>
      <c r="B137" s="582" t="s">
        <v>1078</v>
      </c>
      <c r="C137" s="507">
        <f t="shared" si="2"/>
        <v>0</v>
      </c>
      <c r="D137" s="505"/>
      <c r="E137" s="513"/>
      <c r="F137" s="510"/>
    </row>
    <row r="138" spans="1:6" ht="45.75" customHeight="1" hidden="1">
      <c r="A138" s="493">
        <v>41050200</v>
      </c>
      <c r="B138" s="485" t="s">
        <v>1079</v>
      </c>
      <c r="C138" s="507">
        <f t="shared" si="2"/>
        <v>0</v>
      </c>
      <c r="D138" s="505"/>
      <c r="E138" s="513"/>
      <c r="F138" s="510"/>
    </row>
    <row r="139" spans="1:7" s="545" customFormat="1" ht="105" hidden="1">
      <c r="A139" s="493">
        <v>41050300</v>
      </c>
      <c r="B139" s="485" t="s">
        <v>1080</v>
      </c>
      <c r="C139" s="507">
        <f>D139+E139</f>
        <v>0</v>
      </c>
      <c r="D139" s="505"/>
      <c r="E139" s="505"/>
      <c r="F139" s="507"/>
      <c r="G139" s="583"/>
    </row>
    <row r="140" spans="1:7" s="545" customFormat="1" ht="132" hidden="1">
      <c r="A140" s="493">
        <v>41050400</v>
      </c>
      <c r="B140" s="485" t="s">
        <v>1081</v>
      </c>
      <c r="C140" s="507">
        <f>D140+E140</f>
        <v>0</v>
      </c>
      <c r="D140" s="505"/>
      <c r="E140" s="505"/>
      <c r="F140" s="507"/>
      <c r="G140" s="583"/>
    </row>
    <row r="141" spans="1:7" s="545" customFormat="1" ht="118.5" hidden="1">
      <c r="A141" s="493">
        <v>41050500</v>
      </c>
      <c r="B141" s="485" t="s">
        <v>1082</v>
      </c>
      <c r="C141" s="507">
        <f>D141+E141</f>
        <v>0</v>
      </c>
      <c r="D141" s="505"/>
      <c r="E141" s="505"/>
      <c r="F141" s="507"/>
      <c r="G141" s="583"/>
    </row>
    <row r="142" spans="1:7" s="545" customFormat="1" ht="158.25" hidden="1">
      <c r="A142" s="493">
        <v>41050600</v>
      </c>
      <c r="B142" s="485" t="s">
        <v>1083</v>
      </c>
      <c r="C142" s="507">
        <f>D142+E142</f>
        <v>0</v>
      </c>
      <c r="D142" s="505"/>
      <c r="E142" s="505"/>
      <c r="F142" s="507"/>
      <c r="G142" s="583"/>
    </row>
    <row r="143" spans="1:7" ht="105" customHeight="1" hidden="1">
      <c r="A143" s="493">
        <v>41050700</v>
      </c>
      <c r="B143" s="485" t="s">
        <v>1084</v>
      </c>
      <c r="C143" s="507">
        <f t="shared" si="2"/>
        <v>0</v>
      </c>
      <c r="D143" s="505"/>
      <c r="E143" s="513"/>
      <c r="F143" s="510"/>
      <c r="G143" s="584"/>
    </row>
    <row r="144" spans="1:7" ht="26.25">
      <c r="A144" s="493">
        <v>41051000</v>
      </c>
      <c r="B144" s="585" t="s">
        <v>1085</v>
      </c>
      <c r="C144" s="507">
        <f t="shared" si="2"/>
        <v>3880240</v>
      </c>
      <c r="D144" s="505">
        <f>3401040+479200</f>
        <v>3880240</v>
      </c>
      <c r="E144" s="513"/>
      <c r="F144" s="510"/>
      <c r="G144" s="584"/>
    </row>
    <row r="145" spans="1:7" ht="26.25">
      <c r="A145" s="793"/>
      <c r="B145" s="585" t="s">
        <v>1086</v>
      </c>
      <c r="C145" s="507">
        <f t="shared" si="2"/>
        <v>2941500</v>
      </c>
      <c r="D145" s="505">
        <f>2462300+479200</f>
        <v>2941500</v>
      </c>
      <c r="E145" s="513"/>
      <c r="F145" s="510"/>
      <c r="G145" s="584"/>
    </row>
    <row r="146" spans="1:7" ht="12.75">
      <c r="A146" s="794"/>
      <c r="B146" s="585" t="s">
        <v>1087</v>
      </c>
      <c r="C146" s="507">
        <f t="shared" si="2"/>
        <v>938740</v>
      </c>
      <c r="D146" s="505">
        <v>938740</v>
      </c>
      <c r="E146" s="513"/>
      <c r="F146" s="510"/>
      <c r="G146" s="584"/>
    </row>
    <row r="147" spans="1:6" s="588" customFormat="1" ht="39">
      <c r="A147" s="577">
        <v>41051500</v>
      </c>
      <c r="B147" s="585" t="s">
        <v>1088</v>
      </c>
      <c r="C147" s="541">
        <f t="shared" si="2"/>
        <v>2173320</v>
      </c>
      <c r="D147" s="586">
        <v>2173320</v>
      </c>
      <c r="E147" s="587"/>
      <c r="F147" s="587"/>
    </row>
    <row r="148" spans="1:6" s="545" customFormat="1" ht="26.25" hidden="1">
      <c r="A148" s="493">
        <v>41052000</v>
      </c>
      <c r="B148" s="589" t="s">
        <v>1089</v>
      </c>
      <c r="C148" s="507">
        <f t="shared" si="2"/>
        <v>0</v>
      </c>
      <c r="D148" s="505"/>
      <c r="E148" s="505"/>
      <c r="F148" s="507"/>
    </row>
    <row r="149" spans="1:6" s="545" customFormat="1" ht="26.25">
      <c r="A149" s="493">
        <v>41051100</v>
      </c>
      <c r="B149" s="590" t="s">
        <v>1090</v>
      </c>
      <c r="C149" s="486">
        <f t="shared" si="2"/>
        <v>961760</v>
      </c>
      <c r="D149" s="505">
        <f>SUM(D150:D152)</f>
        <v>961760</v>
      </c>
      <c r="E149" s="505"/>
      <c r="F149" s="507"/>
    </row>
    <row r="150" spans="1:6" s="545" customFormat="1" ht="39">
      <c r="A150" s="493"/>
      <c r="B150" s="591" t="s">
        <v>1091</v>
      </c>
      <c r="C150" s="495">
        <f t="shared" si="2"/>
        <v>300000</v>
      </c>
      <c r="D150" s="505">
        <v>300000</v>
      </c>
      <c r="E150" s="505"/>
      <c r="F150" s="507"/>
    </row>
    <row r="151" spans="1:6" s="545" customFormat="1" ht="26.25">
      <c r="A151" s="493"/>
      <c r="B151" s="591" t="s">
        <v>1092</v>
      </c>
      <c r="C151" s="495">
        <f t="shared" si="2"/>
        <v>250000</v>
      </c>
      <c r="D151" s="505">
        <v>250000</v>
      </c>
      <c r="E151" s="505"/>
      <c r="F151" s="507"/>
    </row>
    <row r="152" spans="1:6" s="545" customFormat="1" ht="26.25">
      <c r="A152" s="493"/>
      <c r="B152" s="591" t="s">
        <v>1093</v>
      </c>
      <c r="C152" s="495">
        <f t="shared" si="2"/>
        <v>411760</v>
      </c>
      <c r="D152" s="505">
        <v>411760</v>
      </c>
      <c r="E152" s="505"/>
      <c r="F152" s="507"/>
    </row>
    <row r="153" spans="1:6" s="545" customFormat="1" ht="26.25">
      <c r="A153" s="493">
        <v>41051200</v>
      </c>
      <c r="B153" s="592" t="s">
        <v>1094</v>
      </c>
      <c r="C153" s="486">
        <f t="shared" si="2"/>
        <v>1622391</v>
      </c>
      <c r="D153" s="505">
        <f>1097931+524460</f>
        <v>1622391</v>
      </c>
      <c r="E153" s="505"/>
      <c r="F153" s="507"/>
    </row>
    <row r="154" spans="1:6" s="545" customFormat="1" ht="37.5" customHeight="1">
      <c r="A154" s="493">
        <v>41051400</v>
      </c>
      <c r="B154" s="592" t="s">
        <v>1095</v>
      </c>
      <c r="C154" s="495">
        <f t="shared" si="2"/>
        <v>5508153</v>
      </c>
      <c r="D154" s="505">
        <v>5508153</v>
      </c>
      <c r="E154" s="505"/>
      <c r="F154" s="507"/>
    </row>
    <row r="155" spans="1:6" s="545" customFormat="1" ht="26.25" hidden="1">
      <c r="A155" s="493">
        <v>41051600</v>
      </c>
      <c r="B155" s="592" t="s">
        <v>1096</v>
      </c>
      <c r="C155" s="486">
        <f t="shared" si="2"/>
        <v>0</v>
      </c>
      <c r="D155" s="505"/>
      <c r="E155" s="505"/>
      <c r="F155" s="507"/>
    </row>
    <row r="156" spans="1:6" s="545" customFormat="1" ht="12.75">
      <c r="A156" s="593">
        <v>41053900</v>
      </c>
      <c r="B156" s="585" t="s">
        <v>1097</v>
      </c>
      <c r="C156" s="510">
        <f t="shared" si="2"/>
        <v>13256560</v>
      </c>
      <c r="D156" s="513">
        <f>SUM(D157:D173)</f>
        <v>9931560</v>
      </c>
      <c r="E156" s="513">
        <f>SUM(E157:E173)</f>
        <v>3325000</v>
      </c>
      <c r="F156" s="513">
        <f>SUM(F157:F173)</f>
        <v>325000</v>
      </c>
    </row>
    <row r="157" spans="1:6" s="545" customFormat="1" ht="12.75">
      <c r="A157" s="795"/>
      <c r="B157" s="594" t="s">
        <v>1098</v>
      </c>
      <c r="C157" s="507">
        <f t="shared" si="2"/>
        <v>325000</v>
      </c>
      <c r="D157" s="578"/>
      <c r="E157" s="505">
        <v>325000</v>
      </c>
      <c r="F157" s="507">
        <f>E157</f>
        <v>325000</v>
      </c>
    </row>
    <row r="158" spans="1:6" s="521" customFormat="1" ht="39">
      <c r="A158" s="795"/>
      <c r="B158" s="595" t="s">
        <v>1099</v>
      </c>
      <c r="C158" s="507">
        <f t="shared" si="2"/>
        <v>127757</v>
      </c>
      <c r="D158" s="578">
        <v>127757</v>
      </c>
      <c r="E158" s="505"/>
      <c r="F158" s="507"/>
    </row>
    <row r="159" spans="1:6" s="545" customFormat="1" ht="12.75">
      <c r="A159" s="795"/>
      <c r="B159" s="596" t="s">
        <v>1100</v>
      </c>
      <c r="C159" s="507">
        <f t="shared" si="2"/>
        <v>3000000</v>
      </c>
      <c r="D159" s="578"/>
      <c r="E159" s="505">
        <v>3000000</v>
      </c>
      <c r="F159" s="507"/>
    </row>
    <row r="160" spans="1:6" s="545" customFormat="1" ht="28.5" customHeight="1">
      <c r="A160" s="795"/>
      <c r="B160" s="597" t="s">
        <v>1101</v>
      </c>
      <c r="C160" s="507">
        <f t="shared" si="2"/>
        <v>4729400</v>
      </c>
      <c r="D160" s="578">
        <v>4729400</v>
      </c>
      <c r="E160" s="505"/>
      <c r="F160" s="507"/>
    </row>
    <row r="161" spans="1:6" s="545" customFormat="1" ht="26.25" customHeight="1">
      <c r="A161" s="795"/>
      <c r="B161" s="485" t="s">
        <v>1102</v>
      </c>
      <c r="C161" s="507">
        <f t="shared" si="2"/>
        <v>2866696</v>
      </c>
      <c r="D161" s="505">
        <v>2866696</v>
      </c>
      <c r="E161" s="505"/>
      <c r="F161" s="507"/>
    </row>
    <row r="162" spans="1:6" s="545" customFormat="1" ht="39">
      <c r="A162" s="795"/>
      <c r="B162" s="485" t="s">
        <v>1103</v>
      </c>
      <c r="C162" s="507">
        <f t="shared" si="2"/>
        <v>80000</v>
      </c>
      <c r="D162" s="505">
        <v>80000</v>
      </c>
      <c r="E162" s="505"/>
      <c r="F162" s="507"/>
    </row>
    <row r="163" spans="1:6" s="545" customFormat="1" ht="66">
      <c r="A163" s="795"/>
      <c r="B163" s="485" t="s">
        <v>1104</v>
      </c>
      <c r="C163" s="507">
        <f t="shared" si="2"/>
        <v>62500</v>
      </c>
      <c r="D163" s="505">
        <f>50000+12500</f>
        <v>62500</v>
      </c>
      <c r="E163" s="505"/>
      <c r="F163" s="507"/>
    </row>
    <row r="164" spans="1:6" s="545" customFormat="1" ht="52.5">
      <c r="A164" s="795"/>
      <c r="B164" s="485" t="s">
        <v>1105</v>
      </c>
      <c r="C164" s="507">
        <f t="shared" si="2"/>
        <v>18000</v>
      </c>
      <c r="D164" s="505">
        <v>18000</v>
      </c>
      <c r="E164" s="505"/>
      <c r="F164" s="507"/>
    </row>
    <row r="165" spans="1:6" s="545" customFormat="1" ht="12.75" customHeight="1" hidden="1">
      <c r="A165" s="795"/>
      <c r="B165" s="485" t="s">
        <v>1106</v>
      </c>
      <c r="C165" s="507">
        <f t="shared" si="2"/>
        <v>0</v>
      </c>
      <c r="D165" s="505"/>
      <c r="E165" s="505"/>
      <c r="F165" s="507"/>
    </row>
    <row r="166" spans="1:6" s="545" customFormat="1" ht="66" hidden="1">
      <c r="A166" s="795"/>
      <c r="B166" s="485" t="s">
        <v>1107</v>
      </c>
      <c r="C166" s="507">
        <f t="shared" si="2"/>
        <v>0</v>
      </c>
      <c r="D166" s="505"/>
      <c r="E166" s="505"/>
      <c r="F166" s="507"/>
    </row>
    <row r="167" spans="1:6" s="545" customFormat="1" ht="26.25" hidden="1">
      <c r="A167" s="795"/>
      <c r="B167" s="485" t="s">
        <v>1092</v>
      </c>
      <c r="C167" s="507">
        <f t="shared" si="2"/>
        <v>0</v>
      </c>
      <c r="D167" s="505"/>
      <c r="E167" s="505"/>
      <c r="F167" s="507"/>
    </row>
    <row r="168" spans="1:6" s="545" customFormat="1" ht="52.5">
      <c r="A168" s="795"/>
      <c r="B168" s="589" t="s">
        <v>1108</v>
      </c>
      <c r="C168" s="507">
        <f t="shared" si="2"/>
        <v>716604</v>
      </c>
      <c r="D168" s="505">
        <v>716604</v>
      </c>
      <c r="E168" s="505"/>
      <c r="F168" s="507"/>
    </row>
    <row r="169" spans="1:6" s="545" customFormat="1" ht="30.75" customHeight="1">
      <c r="A169" s="795"/>
      <c r="B169" s="598" t="s">
        <v>1109</v>
      </c>
      <c r="C169" s="507">
        <f t="shared" si="2"/>
        <v>528000</v>
      </c>
      <c r="D169" s="505">
        <v>528000</v>
      </c>
      <c r="E169" s="505"/>
      <c r="F169" s="507"/>
    </row>
    <row r="170" spans="1:6" s="545" customFormat="1" ht="26.25" hidden="1">
      <c r="A170" s="795"/>
      <c r="B170" s="485" t="s">
        <v>1110</v>
      </c>
      <c r="C170" s="507">
        <f t="shared" si="2"/>
        <v>0</v>
      </c>
      <c r="D170" s="505"/>
      <c r="E170" s="505"/>
      <c r="F170" s="507"/>
    </row>
    <row r="171" spans="1:6" s="545" customFormat="1" ht="26.25" hidden="1">
      <c r="A171" s="795"/>
      <c r="B171" s="485" t="s">
        <v>1111</v>
      </c>
      <c r="C171" s="507">
        <f t="shared" si="2"/>
        <v>0</v>
      </c>
      <c r="D171" s="505"/>
      <c r="E171" s="505"/>
      <c r="F171" s="507"/>
    </row>
    <row r="172" spans="1:6" s="545" customFormat="1" ht="26.25">
      <c r="A172" s="795"/>
      <c r="B172" s="485" t="s">
        <v>1112</v>
      </c>
      <c r="C172" s="507">
        <f t="shared" si="2"/>
        <v>35086</v>
      </c>
      <c r="D172" s="505">
        <v>35086</v>
      </c>
      <c r="E172" s="505"/>
      <c r="F172" s="507"/>
    </row>
    <row r="173" spans="1:6" s="545" customFormat="1" ht="12.75">
      <c r="A173" s="795"/>
      <c r="B173" s="485" t="s">
        <v>1113</v>
      </c>
      <c r="C173" s="507">
        <f t="shared" si="2"/>
        <v>767517</v>
      </c>
      <c r="D173" s="505">
        <v>767517</v>
      </c>
      <c r="E173" s="505"/>
      <c r="F173" s="507"/>
    </row>
    <row r="174" spans="1:6" s="545" customFormat="1" ht="105" hidden="1">
      <c r="A174" s="493">
        <v>41054200</v>
      </c>
      <c r="B174" s="485" t="s">
        <v>1114</v>
      </c>
      <c r="C174" s="507">
        <f t="shared" si="2"/>
        <v>0</v>
      </c>
      <c r="D174" s="505"/>
      <c r="E174" s="505"/>
      <c r="F174" s="507"/>
    </row>
    <row r="175" spans="1:6" s="545" customFormat="1" ht="26.25" hidden="1">
      <c r="A175" s="493">
        <v>41054300</v>
      </c>
      <c r="B175" s="485" t="s">
        <v>1115</v>
      </c>
      <c r="C175" s="495">
        <f t="shared" si="2"/>
        <v>0</v>
      </c>
      <c r="D175" s="505"/>
      <c r="E175" s="505"/>
      <c r="F175" s="507"/>
    </row>
    <row r="176" spans="1:6" s="545" customFormat="1" ht="26.25">
      <c r="A176" s="493">
        <v>41055000</v>
      </c>
      <c r="B176" s="485" t="s">
        <v>1116</v>
      </c>
      <c r="C176" s="495">
        <f t="shared" si="2"/>
        <v>10335357</v>
      </c>
      <c r="D176" s="505">
        <f>SUM(D177:D178)</f>
        <v>10335357</v>
      </c>
      <c r="E176" s="505"/>
      <c r="F176" s="507"/>
    </row>
    <row r="177" spans="1:6" s="545" customFormat="1" ht="12.75">
      <c r="A177" s="793"/>
      <c r="B177" s="599" t="s">
        <v>1117</v>
      </c>
      <c r="C177" s="495">
        <f t="shared" si="2"/>
        <v>6854857</v>
      </c>
      <c r="D177" s="505">
        <v>6854857</v>
      </c>
      <c r="E177" s="505"/>
      <c r="F177" s="507"/>
    </row>
    <row r="178" spans="1:6" s="545" customFormat="1" ht="26.25">
      <c r="A178" s="794"/>
      <c r="B178" s="599" t="s">
        <v>1118</v>
      </c>
      <c r="C178" s="495">
        <f t="shared" si="2"/>
        <v>3480500</v>
      </c>
      <c r="D178" s="505">
        <f>2500000+980500</f>
        <v>3480500</v>
      </c>
      <c r="E178" s="505"/>
      <c r="F178" s="507"/>
    </row>
    <row r="179" spans="1:6" s="604" customFormat="1" ht="15">
      <c r="A179" s="600"/>
      <c r="B179" s="601" t="s">
        <v>1119</v>
      </c>
      <c r="C179" s="474">
        <f>D179+E179</f>
        <v>2883227154</v>
      </c>
      <c r="D179" s="602">
        <f>D127+D124</f>
        <v>2742834368</v>
      </c>
      <c r="E179" s="602">
        <f>E127+E124</f>
        <v>140392786</v>
      </c>
      <c r="F179" s="603">
        <f>F127+F124</f>
        <v>50125000</v>
      </c>
    </row>
    <row r="180" spans="5:6" ht="12.75">
      <c r="E180" s="454"/>
      <c r="F180" s="605"/>
    </row>
    <row r="181" spans="3:6" ht="12.75">
      <c r="C181" s="584"/>
      <c r="D181" s="606"/>
      <c r="E181" s="606"/>
      <c r="F181" s="584"/>
    </row>
    <row r="182" spans="5:6" ht="12.75">
      <c r="E182" s="454"/>
      <c r="F182" s="605"/>
    </row>
    <row r="183" spans="1:12" s="512" customFormat="1" ht="21" customHeight="1">
      <c r="A183" s="796" t="s">
        <v>1120</v>
      </c>
      <c r="B183" s="796"/>
      <c r="C183" s="607"/>
      <c r="D183" s="608"/>
      <c r="E183" s="609"/>
      <c r="F183" s="607" t="s">
        <v>700</v>
      </c>
      <c r="G183" s="610"/>
      <c r="H183" s="610"/>
      <c r="I183" s="610"/>
      <c r="J183" s="610"/>
      <c r="K183" s="610"/>
      <c r="L183" s="610"/>
    </row>
    <row r="184" spans="5:6" ht="12.75">
      <c r="E184" s="454"/>
      <c r="F184" s="605"/>
    </row>
    <row r="185" spans="5:6" ht="12.75">
      <c r="E185" s="454"/>
      <c r="F185" s="605"/>
    </row>
    <row r="186" spans="1:6" ht="12.75">
      <c r="A186" s="797"/>
      <c r="B186" s="797"/>
      <c r="E186" s="454"/>
      <c r="F186" s="605"/>
    </row>
    <row r="187" spans="5:6" ht="12.75">
      <c r="E187" s="454"/>
      <c r="F187" s="605"/>
    </row>
    <row r="188" spans="5:6" ht="12.75">
      <c r="E188" s="454"/>
      <c r="F188" s="605"/>
    </row>
    <row r="189" spans="5:6" ht="12.75">
      <c r="E189" s="454"/>
      <c r="F189" s="605"/>
    </row>
    <row r="190" spans="5:6" ht="12.75">
      <c r="E190" s="454"/>
      <c r="F190" s="605"/>
    </row>
    <row r="191" spans="5:6" ht="12.75">
      <c r="E191" s="454"/>
      <c r="F191" s="605"/>
    </row>
    <row r="192" spans="5:6" ht="12.75">
      <c r="E192" s="454"/>
      <c r="F192" s="605"/>
    </row>
    <row r="193" spans="5:6" ht="12.75">
      <c r="E193" s="611"/>
      <c r="F193" s="612"/>
    </row>
    <row r="194" spans="5:6" ht="12.75">
      <c r="E194" s="611"/>
      <c r="F194" s="612"/>
    </row>
    <row r="195" spans="5:6" ht="12.75">
      <c r="E195" s="611"/>
      <c r="F195" s="612"/>
    </row>
    <row r="196" spans="5:6" ht="12.75">
      <c r="E196" s="611"/>
      <c r="F196" s="612"/>
    </row>
    <row r="197" spans="5:6" ht="12.75">
      <c r="E197" s="611"/>
      <c r="F197" s="612"/>
    </row>
    <row r="198" spans="5:6" ht="12.75">
      <c r="E198" s="611"/>
      <c r="F198" s="612"/>
    </row>
    <row r="199" spans="5:6" ht="12.75">
      <c r="E199" s="611"/>
      <c r="F199" s="612"/>
    </row>
    <row r="200" spans="5:6" ht="12.75">
      <c r="E200" s="611"/>
      <c r="F200" s="612"/>
    </row>
    <row r="201" spans="5:6" ht="12.75">
      <c r="E201" s="611"/>
      <c r="F201" s="612"/>
    </row>
    <row r="202" spans="5:6" ht="12.75">
      <c r="E202" s="613"/>
      <c r="F202" s="614"/>
    </row>
    <row r="203" spans="5:6" ht="12.75">
      <c r="E203" s="613"/>
      <c r="F203" s="614"/>
    </row>
    <row r="204" spans="5:6" ht="12.75">
      <c r="E204" s="613"/>
      <c r="F204" s="614"/>
    </row>
    <row r="205" spans="5:6" ht="12.75">
      <c r="E205" s="613"/>
      <c r="F205" s="614"/>
    </row>
    <row r="206" spans="5:6" ht="12.75">
      <c r="E206" s="613"/>
      <c r="F206" s="614"/>
    </row>
    <row r="207" spans="5:6" ht="12.75">
      <c r="E207" s="613"/>
      <c r="F207" s="614"/>
    </row>
    <row r="208" spans="5:6" ht="12.75">
      <c r="E208" s="613"/>
      <c r="F208" s="614"/>
    </row>
    <row r="209" spans="5:6" ht="12.75">
      <c r="E209" s="613"/>
      <c r="F209" s="614"/>
    </row>
    <row r="210" spans="5:6" ht="12.75">
      <c r="E210" s="613"/>
      <c r="F210" s="614"/>
    </row>
    <row r="211" spans="5:6" ht="12.75">
      <c r="E211" s="613"/>
      <c r="F211" s="614"/>
    </row>
    <row r="212" spans="5:6" ht="12.75">
      <c r="E212" s="613"/>
      <c r="F212" s="614"/>
    </row>
    <row r="213" spans="5:6" ht="12.75">
      <c r="E213" s="613"/>
      <c r="F213" s="614"/>
    </row>
    <row r="214" spans="5:6" ht="12.75">
      <c r="E214" s="613"/>
      <c r="F214" s="614"/>
    </row>
    <row r="215" spans="5:6" ht="12.75">
      <c r="E215" s="613"/>
      <c r="F215" s="614"/>
    </row>
    <row r="216" spans="5:6" ht="12.75">
      <c r="E216" s="613"/>
      <c r="F216" s="614"/>
    </row>
    <row r="217" spans="5:6" ht="12.75">
      <c r="E217" s="613"/>
      <c r="F217" s="614"/>
    </row>
    <row r="218" spans="5:6" ht="12.75">
      <c r="E218" s="613"/>
      <c r="F218" s="614"/>
    </row>
    <row r="219" spans="5:6" ht="12.75">
      <c r="E219" s="613"/>
      <c r="F219" s="614"/>
    </row>
    <row r="220" spans="5:6" ht="12.75">
      <c r="E220" s="613"/>
      <c r="F220" s="614"/>
    </row>
    <row r="221" spans="5:6" ht="12.75">
      <c r="E221" s="613"/>
      <c r="F221" s="614"/>
    </row>
    <row r="222" spans="5:6" ht="12.75">
      <c r="E222" s="613"/>
      <c r="F222" s="614"/>
    </row>
    <row r="223" spans="5:6" ht="12.75">
      <c r="E223" s="613"/>
      <c r="F223" s="614"/>
    </row>
    <row r="224" spans="5:6" ht="12.75">
      <c r="E224" s="613"/>
      <c r="F224" s="614"/>
    </row>
    <row r="225" spans="5:6" ht="12.75">
      <c r="E225" s="613"/>
      <c r="F225" s="614"/>
    </row>
    <row r="226" spans="5:6" ht="12.75">
      <c r="E226" s="613"/>
      <c r="F226" s="614"/>
    </row>
    <row r="227" spans="5:6" ht="12.75">
      <c r="E227" s="613"/>
      <c r="F227" s="614"/>
    </row>
    <row r="228" spans="5:6" ht="12.75">
      <c r="E228" s="613"/>
      <c r="F228" s="614"/>
    </row>
    <row r="229" spans="5:6" ht="12.75">
      <c r="E229" s="613"/>
      <c r="F229" s="614"/>
    </row>
    <row r="230" spans="5:6" ht="12.75">
      <c r="E230" s="613"/>
      <c r="F230" s="614"/>
    </row>
    <row r="231" spans="5:6" ht="12.75">
      <c r="E231" s="613"/>
      <c r="F231" s="614"/>
    </row>
    <row r="232" spans="5:6" ht="12.75">
      <c r="E232" s="613"/>
      <c r="F232" s="614"/>
    </row>
    <row r="233" spans="5:6" ht="12.75">
      <c r="E233" s="613"/>
      <c r="F233" s="614"/>
    </row>
    <row r="234" spans="5:6" ht="12.75">
      <c r="E234" s="613"/>
      <c r="F234" s="614"/>
    </row>
    <row r="235" spans="5:6" ht="12.75">
      <c r="E235" s="613"/>
      <c r="F235" s="614"/>
    </row>
    <row r="236" spans="5:6" ht="12.75">
      <c r="E236" s="613"/>
      <c r="F236" s="614"/>
    </row>
    <row r="237" spans="5:6" ht="12.75">
      <c r="E237" s="613"/>
      <c r="F237" s="614"/>
    </row>
    <row r="238" spans="5:6" ht="12.75">
      <c r="E238" s="613"/>
      <c r="F238" s="614"/>
    </row>
    <row r="239" spans="5:6" ht="12.75">
      <c r="E239" s="613"/>
      <c r="F239" s="614"/>
    </row>
    <row r="240" spans="5:6" ht="12.75">
      <c r="E240" s="613"/>
      <c r="F240" s="614"/>
    </row>
    <row r="241" spans="5:6" ht="12.75">
      <c r="E241" s="613"/>
      <c r="F241" s="614"/>
    </row>
    <row r="242" spans="5:6" ht="12.75">
      <c r="E242" s="613"/>
      <c r="F242" s="614"/>
    </row>
    <row r="243" spans="5:6" ht="12.75">
      <c r="E243" s="613"/>
      <c r="F243" s="614"/>
    </row>
    <row r="244" spans="5:6" ht="12.75">
      <c r="E244" s="613"/>
      <c r="F244" s="614"/>
    </row>
    <row r="245" spans="5:6" ht="12.75">
      <c r="E245" s="613"/>
      <c r="F245" s="614"/>
    </row>
    <row r="246" spans="5:6" ht="12.75">
      <c r="E246" s="613"/>
      <c r="F246" s="614"/>
    </row>
    <row r="247" spans="5:6" ht="12.75">
      <c r="E247" s="613"/>
      <c r="F247" s="614"/>
    </row>
    <row r="248" spans="5:6" ht="12.75">
      <c r="E248" s="613"/>
      <c r="F248" s="614"/>
    </row>
    <row r="249" spans="5:6" ht="12.75">
      <c r="E249" s="613"/>
      <c r="F249" s="614"/>
    </row>
    <row r="250" spans="5:6" ht="12.75">
      <c r="E250" s="613"/>
      <c r="F250" s="614"/>
    </row>
    <row r="251" spans="5:6" ht="12.75">
      <c r="E251" s="613"/>
      <c r="F251" s="614"/>
    </row>
    <row r="252" spans="5:6" ht="12.75">
      <c r="E252" s="613"/>
      <c r="F252" s="614"/>
    </row>
    <row r="253" spans="5:6" ht="12.75">
      <c r="E253" s="613"/>
      <c r="F253" s="614"/>
    </row>
    <row r="254" spans="5:6" ht="12.75">
      <c r="E254" s="613"/>
      <c r="F254" s="614"/>
    </row>
    <row r="255" spans="5:6" ht="12.75">
      <c r="E255" s="613"/>
      <c r="F255" s="614"/>
    </row>
    <row r="256" spans="5:6" ht="12.75">
      <c r="E256" s="613"/>
      <c r="F256" s="614"/>
    </row>
    <row r="257" spans="5:6" ht="12.75">
      <c r="E257" s="613"/>
      <c r="F257" s="614"/>
    </row>
    <row r="258" spans="5:6" ht="12.75">
      <c r="E258" s="613"/>
      <c r="F258" s="614"/>
    </row>
    <row r="259" spans="5:6" ht="12.75">
      <c r="E259" s="613"/>
      <c r="F259" s="614"/>
    </row>
    <row r="260" spans="5:6" ht="12.75">
      <c r="E260" s="613"/>
      <c r="F260" s="614"/>
    </row>
    <row r="261" spans="5:6" ht="12.75">
      <c r="E261" s="613"/>
      <c r="F261" s="614"/>
    </row>
    <row r="262" spans="5:6" ht="12.75">
      <c r="E262" s="613"/>
      <c r="F262" s="614"/>
    </row>
    <row r="263" spans="5:6" ht="12.75">
      <c r="E263" s="613"/>
      <c r="F263" s="614"/>
    </row>
    <row r="264" spans="5:6" ht="12.75">
      <c r="E264" s="613"/>
      <c r="F264" s="614"/>
    </row>
    <row r="265" spans="5:6" ht="12.75">
      <c r="E265" s="613"/>
      <c r="F265" s="614"/>
    </row>
    <row r="266" spans="5:6" ht="12.75">
      <c r="E266" s="613"/>
      <c r="F266" s="614"/>
    </row>
    <row r="267" spans="5:6" ht="12.75">
      <c r="E267" s="613"/>
      <c r="F267" s="614"/>
    </row>
    <row r="268" spans="5:6" ht="12.75">
      <c r="E268" s="613"/>
      <c r="F268" s="614"/>
    </row>
    <row r="269" spans="5:6" ht="12.75">
      <c r="E269" s="613"/>
      <c r="F269" s="614"/>
    </row>
    <row r="270" spans="5:6" ht="12.75">
      <c r="E270" s="613"/>
      <c r="F270" s="614"/>
    </row>
    <row r="271" spans="5:6" ht="12.75">
      <c r="E271" s="613"/>
      <c r="F271" s="614"/>
    </row>
    <row r="272" spans="5:6" ht="12.75">
      <c r="E272" s="613"/>
      <c r="F272" s="614"/>
    </row>
    <row r="273" spans="5:6" ht="12.75">
      <c r="E273" s="613"/>
      <c r="F273" s="614"/>
    </row>
    <row r="274" spans="5:6" ht="12.75">
      <c r="E274" s="613"/>
      <c r="F274" s="614"/>
    </row>
    <row r="275" spans="5:6" ht="12.75">
      <c r="E275" s="613"/>
      <c r="F275" s="614"/>
    </row>
  </sheetData>
  <sheetProtection/>
  <mergeCells count="12">
    <mergeCell ref="D6:D7"/>
    <mergeCell ref="E6:F6"/>
    <mergeCell ref="A145:A146"/>
    <mergeCell ref="A157:A173"/>
    <mergeCell ref="A177:A178"/>
    <mergeCell ref="A183:B183"/>
    <mergeCell ref="A186:B186"/>
    <mergeCell ref="E1:F2"/>
    <mergeCell ref="A3:F3"/>
    <mergeCell ref="A6:A7"/>
    <mergeCell ref="B6:B7"/>
    <mergeCell ref="C6:C7"/>
  </mergeCells>
  <printOptions horizontalCentered="1"/>
  <pageMargins left="0.5905511811023623" right="0.31496062992125984" top="0.4724409448818898" bottom="0.4724409448818898" header="0.3937007874015748" footer="0.3937007874015748"/>
  <pageSetup fitToHeight="3" fitToWidth="1" horizontalDpi="600" verticalDpi="600" orientation="portrait" paperSize="9" scale="6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showGridLines="0" showZeros="0" zoomScale="90" zoomScaleNormal="90" zoomScalePageLayoutView="0" workbookViewId="0" topLeftCell="A16">
      <selection activeCell="E31" sqref="E31"/>
    </sheetView>
  </sheetViews>
  <sheetFormatPr defaultColWidth="9.16015625" defaultRowHeight="12.75" customHeight="1"/>
  <cols>
    <col min="1" max="1" width="16.66015625" style="1" customWidth="1"/>
    <col min="2" max="2" width="46.33203125" style="1" customWidth="1"/>
    <col min="3" max="3" width="17.83203125" style="1" customWidth="1"/>
    <col min="4" max="4" width="18.83203125" style="1" customWidth="1"/>
    <col min="5" max="5" width="17.83203125" style="1" customWidth="1"/>
    <col min="6" max="6" width="18.66015625" style="1" customWidth="1"/>
    <col min="7" max="7" width="9.16015625" style="1" customWidth="1"/>
    <col min="8" max="8" width="19.5" style="1" customWidth="1"/>
    <col min="9" max="9" width="21.5" style="1" customWidth="1"/>
    <col min="10" max="10" width="9.16015625" style="1" customWidth="1"/>
    <col min="11" max="11" width="16.5" style="1" customWidth="1"/>
    <col min="12" max="12" width="9.16015625" style="1" customWidth="1"/>
    <col min="13" max="16384" width="9.16015625" style="3" customWidth="1"/>
  </cols>
  <sheetData>
    <row r="1" spans="3:13" ht="192.75" customHeight="1">
      <c r="C1" s="2"/>
      <c r="E1" s="813" t="s">
        <v>929</v>
      </c>
      <c r="F1" s="813"/>
      <c r="M1" s="1"/>
    </row>
    <row r="2" spans="1:6" ht="51.75" customHeight="1">
      <c r="A2" s="809" t="s">
        <v>158</v>
      </c>
      <c r="B2" s="809"/>
      <c r="C2" s="809"/>
      <c r="D2" s="809"/>
      <c r="E2" s="809"/>
      <c r="F2" s="809"/>
    </row>
    <row r="3" spans="1:6" ht="20.25">
      <c r="A3" s="338">
        <v>23201100000</v>
      </c>
      <c r="B3" s="316"/>
      <c r="C3" s="316"/>
      <c r="D3" s="316"/>
      <c r="E3" s="316"/>
      <c r="F3" s="316"/>
    </row>
    <row r="4" spans="1:6" ht="36" customHeight="1">
      <c r="A4" s="320" t="s">
        <v>162</v>
      </c>
      <c r="B4" s="316"/>
      <c r="C4" s="316"/>
      <c r="D4" s="316"/>
      <c r="E4" s="316"/>
      <c r="F4" s="316"/>
    </row>
    <row r="5" spans="1:6" ht="12.75" customHeight="1">
      <c r="A5" s="807"/>
      <c r="B5" s="807"/>
      <c r="C5" s="807"/>
      <c r="D5" s="807"/>
      <c r="E5" s="807"/>
      <c r="F5" s="4" t="s">
        <v>238</v>
      </c>
    </row>
    <row r="6" spans="1:12" s="7" customFormat="1" ht="24.75" customHeight="1">
      <c r="A6" s="808" t="s">
        <v>473</v>
      </c>
      <c r="B6" s="808" t="s">
        <v>91</v>
      </c>
      <c r="C6" s="808" t="s">
        <v>163</v>
      </c>
      <c r="D6" s="808" t="s">
        <v>92</v>
      </c>
      <c r="E6" s="808" t="s">
        <v>521</v>
      </c>
      <c r="F6" s="808"/>
      <c r="G6" s="6"/>
      <c r="H6" s="6"/>
      <c r="I6" s="6"/>
      <c r="J6" s="6"/>
      <c r="K6" s="6"/>
      <c r="L6" s="6"/>
    </row>
    <row r="7" spans="1:12" s="7" customFormat="1" ht="38.25" customHeight="1">
      <c r="A7" s="808"/>
      <c r="B7" s="808"/>
      <c r="C7" s="808"/>
      <c r="D7" s="808"/>
      <c r="E7" s="5" t="s">
        <v>522</v>
      </c>
      <c r="F7" s="8" t="s">
        <v>93</v>
      </c>
      <c r="G7" s="6"/>
      <c r="H7" s="6"/>
      <c r="I7" s="6"/>
      <c r="J7" s="6"/>
      <c r="K7" s="6"/>
      <c r="L7" s="6"/>
    </row>
    <row r="8" spans="1:12" s="7" customFormat="1" ht="15" customHeight="1">
      <c r="A8" s="810" t="s">
        <v>265</v>
      </c>
      <c r="B8" s="811"/>
      <c r="C8" s="811"/>
      <c r="D8" s="811"/>
      <c r="E8" s="811"/>
      <c r="F8" s="812"/>
      <c r="G8" s="6"/>
      <c r="H8" s="6"/>
      <c r="I8" s="6"/>
      <c r="J8" s="6"/>
      <c r="K8" s="6"/>
      <c r="L8" s="6"/>
    </row>
    <row r="9" spans="1:12" s="12" customFormat="1" ht="24.75" customHeight="1">
      <c r="A9" s="9">
        <v>200000</v>
      </c>
      <c r="B9" s="10" t="s">
        <v>94</v>
      </c>
      <c r="C9" s="11">
        <f>D9+E9</f>
        <v>23325143.53999996</v>
      </c>
      <c r="D9" s="11">
        <f>D10+D16</f>
        <v>-501197239.35</v>
      </c>
      <c r="E9" s="11">
        <f>E10+E16</f>
        <v>524522382.89</v>
      </c>
      <c r="F9" s="11">
        <f>F10+F16</f>
        <v>521375784.55</v>
      </c>
      <c r="G9" s="1"/>
      <c r="H9" s="41"/>
      <c r="I9" s="41"/>
      <c r="J9" s="41"/>
      <c r="K9" s="41"/>
      <c r="L9" s="1"/>
    </row>
    <row r="10" spans="1:6" s="16" customFormat="1" ht="15" hidden="1">
      <c r="A10" s="13" t="s">
        <v>95</v>
      </c>
      <c r="B10" s="14" t="s">
        <v>96</v>
      </c>
      <c r="C10" s="15">
        <f>E10</f>
        <v>0</v>
      </c>
      <c r="D10" s="15"/>
      <c r="E10" s="15">
        <f>E11+E14</f>
        <v>0</v>
      </c>
      <c r="F10" s="15">
        <f>F11+F14</f>
        <v>0</v>
      </c>
    </row>
    <row r="11" spans="1:6" s="16" customFormat="1" ht="30.75" hidden="1">
      <c r="A11" s="17" t="s">
        <v>97</v>
      </c>
      <c r="B11" s="18" t="s">
        <v>98</v>
      </c>
      <c r="C11" s="19">
        <f>C12-C13</f>
        <v>0</v>
      </c>
      <c r="D11" s="19"/>
      <c r="E11" s="19"/>
      <c r="F11" s="19"/>
    </row>
    <row r="12" spans="1:6" s="16" customFormat="1" ht="15" hidden="1">
      <c r="A12" s="17">
        <v>203410</v>
      </c>
      <c r="B12" s="18" t="s">
        <v>99</v>
      </c>
      <c r="C12" s="19"/>
      <c r="D12" s="19"/>
      <c r="E12" s="19"/>
      <c r="F12" s="19"/>
    </row>
    <row r="13" spans="1:6" s="20" customFormat="1" ht="15" hidden="1">
      <c r="A13" s="17" t="s">
        <v>100</v>
      </c>
      <c r="B13" s="18" t="s">
        <v>101</v>
      </c>
      <c r="C13" s="19"/>
      <c r="D13" s="19"/>
      <c r="E13" s="19"/>
      <c r="F13" s="19"/>
    </row>
    <row r="14" spans="1:6" s="16" customFormat="1" ht="15" hidden="1">
      <c r="A14" s="13">
        <v>203500</v>
      </c>
      <c r="B14" s="14" t="s">
        <v>96</v>
      </c>
      <c r="C14" s="15">
        <f>C15</f>
        <v>0</v>
      </c>
      <c r="D14" s="15"/>
      <c r="E14" s="15">
        <f>E15</f>
        <v>0</v>
      </c>
      <c r="F14" s="15">
        <f>E14</f>
        <v>0</v>
      </c>
    </row>
    <row r="15" spans="1:6" s="16" customFormat="1" ht="15" hidden="1">
      <c r="A15" s="17" t="s">
        <v>808</v>
      </c>
      <c r="B15" s="18" t="s">
        <v>809</v>
      </c>
      <c r="C15" s="19">
        <f>E15</f>
        <v>0</v>
      </c>
      <c r="D15" s="19"/>
      <c r="E15" s="19"/>
      <c r="F15" s="19"/>
    </row>
    <row r="16" spans="1:11" s="16" customFormat="1" ht="30" customHeight="1">
      <c r="A16" s="13" t="s">
        <v>810</v>
      </c>
      <c r="B16" s="14" t="s">
        <v>811</v>
      </c>
      <c r="C16" s="15">
        <f>C17-C18+C21+C19</f>
        <v>23325143.540000003</v>
      </c>
      <c r="D16" s="15">
        <f>D17-D18+D21</f>
        <v>-501197239.35</v>
      </c>
      <c r="E16" s="15">
        <f>E17-E18+E21+E19</f>
        <v>524522382.89</v>
      </c>
      <c r="F16" s="15">
        <f>F17-F18+F21+F19</f>
        <v>521375784.55</v>
      </c>
      <c r="K16" s="269"/>
    </row>
    <row r="17" spans="1:11" s="16" customFormat="1" ht="15">
      <c r="A17" s="17" t="s">
        <v>812</v>
      </c>
      <c r="B17" s="18" t="s">
        <v>881</v>
      </c>
      <c r="C17" s="19">
        <f>D17+E17</f>
        <v>27385892.89</v>
      </c>
      <c r="D17" s="19">
        <v>23726407.59</v>
      </c>
      <c r="E17" s="19">
        <v>3659485.3</v>
      </c>
      <c r="F17" s="19">
        <v>511993.55</v>
      </c>
      <c r="H17" s="269"/>
      <c r="K17" s="269"/>
    </row>
    <row r="18" spans="1:9" s="16" customFormat="1" ht="15">
      <c r="A18" s="17">
        <v>208200</v>
      </c>
      <c r="B18" s="18" t="s">
        <v>882</v>
      </c>
      <c r="C18" s="19">
        <f>D18+E18</f>
        <v>4060749.349999999</v>
      </c>
      <c r="D18" s="19">
        <f>23726407.59-15271451.65-700000-3695100</f>
        <v>4059855.9399999995</v>
      </c>
      <c r="E18" s="19">
        <f>3659485.3-3658591.89</f>
        <v>893.4099999996834</v>
      </c>
      <c r="F18" s="19"/>
      <c r="I18" s="269"/>
    </row>
    <row r="19" spans="1:6" s="21" customFormat="1" ht="16.5" hidden="1">
      <c r="A19" s="17" t="s">
        <v>883</v>
      </c>
      <c r="B19" s="18" t="s">
        <v>884</v>
      </c>
      <c r="C19" s="19">
        <f>E19</f>
        <v>0</v>
      </c>
      <c r="D19" s="19"/>
      <c r="E19" s="19">
        <f>E20</f>
        <v>0</v>
      </c>
      <c r="F19" s="19">
        <f>E19</f>
        <v>0</v>
      </c>
    </row>
    <row r="20" spans="1:6" s="22" customFormat="1" ht="17.25" hidden="1">
      <c r="A20" s="17" t="s">
        <v>885</v>
      </c>
      <c r="B20" s="18" t="s">
        <v>886</v>
      </c>
      <c r="C20" s="19">
        <f>E20</f>
        <v>0</v>
      </c>
      <c r="D20" s="19"/>
      <c r="E20" s="19"/>
      <c r="F20" s="19">
        <f>E20</f>
        <v>0</v>
      </c>
    </row>
    <row r="21" spans="1:10" s="21" customFormat="1" ht="47.25" customHeight="1">
      <c r="A21" s="17" t="s">
        <v>887</v>
      </c>
      <c r="B21" s="18" t="s">
        <v>352</v>
      </c>
      <c r="C21" s="19">
        <f>D21+E21</f>
        <v>0</v>
      </c>
      <c r="D21" s="19">
        <f>-545332054+90672254-538745+46187649-35360300-376995-20849500-20000000+10000000-10000000+625000+200000-22625097.52-700000-500000-7450000-4705000-2716246.21-780000-130000+7750000-1109950+21652943.95-600000-1315110-187000+42620-70000-70000-57316-22520944.22</f>
        <v>-520863791</v>
      </c>
      <c r="E21" s="19">
        <f>454659800+538745-46187649+35360300+376995+20849500+20000000-10000000+10000000-625000-200000+22625097.52+700000+500000+7450000+4705000+2716246.21+780000+130000-7750000+1109950-21652943.95+600000+1315110+187000-42620+70000+70000+57316+22520944.22</f>
        <v>520863791</v>
      </c>
      <c r="F21" s="19">
        <f>E21</f>
        <v>520863791</v>
      </c>
      <c r="J21" s="29"/>
    </row>
    <row r="22" spans="1:6" s="21" customFormat="1" ht="16.5" customHeight="1" hidden="1">
      <c r="A22" s="13">
        <v>400000</v>
      </c>
      <c r="B22" s="14" t="s">
        <v>59</v>
      </c>
      <c r="C22" s="23">
        <f>E22</f>
        <v>0</v>
      </c>
      <c r="D22" s="23"/>
      <c r="E22" s="23">
        <f>E23</f>
        <v>0</v>
      </c>
      <c r="F22" s="23">
        <f>F23</f>
        <v>0</v>
      </c>
    </row>
    <row r="23" spans="1:6" s="21" customFormat="1" ht="16.5" customHeight="1" hidden="1">
      <c r="A23" s="13">
        <v>402000</v>
      </c>
      <c r="B23" s="14" t="s">
        <v>60</v>
      </c>
      <c r="C23" s="23">
        <f>E23</f>
        <v>0</v>
      </c>
      <c r="D23" s="23"/>
      <c r="E23" s="23"/>
      <c r="F23" s="23"/>
    </row>
    <row r="24" spans="1:6" s="21" customFormat="1" ht="16.5" customHeight="1" hidden="1">
      <c r="A24" s="17">
        <v>402100</v>
      </c>
      <c r="B24" s="18" t="s">
        <v>61</v>
      </c>
      <c r="C24" s="24">
        <f>E24</f>
        <v>0</v>
      </c>
      <c r="D24" s="24"/>
      <c r="E24" s="24"/>
      <c r="F24" s="24"/>
    </row>
    <row r="25" spans="1:6" s="21" customFormat="1" ht="16.5" customHeight="1" hidden="1">
      <c r="A25" s="17">
        <v>402102</v>
      </c>
      <c r="B25" s="18" t="s">
        <v>62</v>
      </c>
      <c r="C25" s="24">
        <f>E25</f>
        <v>0</v>
      </c>
      <c r="D25" s="24"/>
      <c r="E25" s="24"/>
      <c r="F25" s="24"/>
    </row>
    <row r="26" spans="1:8" s="21" customFormat="1" ht="16.5" customHeight="1">
      <c r="A26" s="9">
        <v>300000</v>
      </c>
      <c r="B26" s="10" t="s">
        <v>63</v>
      </c>
      <c r="C26" s="25">
        <f>D26+E26</f>
        <v>-1685572</v>
      </c>
      <c r="D26" s="26"/>
      <c r="E26" s="25">
        <f>E28+E29</f>
        <v>-1685572</v>
      </c>
      <c r="F26" s="25">
        <f>F28+F29</f>
        <v>-1685572</v>
      </c>
      <c r="H26" s="29"/>
    </row>
    <row r="27" spans="1:6" s="21" customFormat="1" ht="30.75" customHeight="1">
      <c r="A27" s="13">
        <v>301000</v>
      </c>
      <c r="B27" s="14" t="s">
        <v>456</v>
      </c>
      <c r="C27" s="27">
        <f>C28+C29</f>
        <v>-1685572</v>
      </c>
      <c r="D27" s="28"/>
      <c r="E27" s="27">
        <f>E28+E29</f>
        <v>-1685572</v>
      </c>
      <c r="F27" s="27">
        <f>F28+F29</f>
        <v>-1685572</v>
      </c>
    </row>
    <row r="28" spans="1:9" s="21" customFormat="1" ht="16.5" customHeight="1" hidden="1">
      <c r="A28" s="17">
        <v>301100</v>
      </c>
      <c r="B28" s="18" t="s">
        <v>457</v>
      </c>
      <c r="C28" s="28">
        <f>D28+E28</f>
        <v>0</v>
      </c>
      <c r="D28" s="24"/>
      <c r="E28" s="28"/>
      <c r="F28" s="28">
        <f>E28</f>
        <v>0</v>
      </c>
      <c r="I28" s="29"/>
    </row>
    <row r="29" spans="1:6" s="21" customFormat="1" ht="16.5" customHeight="1">
      <c r="A29" s="17">
        <v>301200</v>
      </c>
      <c r="B29" s="18" t="s">
        <v>809</v>
      </c>
      <c r="C29" s="28">
        <f>D29+E29</f>
        <v>-1685572</v>
      </c>
      <c r="D29" s="24"/>
      <c r="E29" s="28">
        <v>-1685572</v>
      </c>
      <c r="F29" s="28">
        <f>E29</f>
        <v>-1685572</v>
      </c>
    </row>
    <row r="30" spans="1:6" s="21" customFormat="1" ht="16.5" customHeight="1">
      <c r="A30" s="810" t="s">
        <v>266</v>
      </c>
      <c r="B30" s="811"/>
      <c r="C30" s="811"/>
      <c r="D30" s="811"/>
      <c r="E30" s="811"/>
      <c r="F30" s="812"/>
    </row>
    <row r="31" spans="1:9" s="21" customFormat="1" ht="32.25" customHeight="1">
      <c r="A31" s="9">
        <v>400000</v>
      </c>
      <c r="B31" s="10" t="s">
        <v>59</v>
      </c>
      <c r="C31" s="25">
        <f>C32+C35</f>
        <v>-1685572</v>
      </c>
      <c r="D31" s="25">
        <f>D32+D35</f>
        <v>0</v>
      </c>
      <c r="E31" s="25">
        <f>E32+E35</f>
        <v>-1685572</v>
      </c>
      <c r="F31" s="25">
        <f>F32+F35</f>
        <v>-1685572</v>
      </c>
      <c r="I31" s="29"/>
    </row>
    <row r="32" spans="1:6" s="21" customFormat="1" ht="16.5" customHeight="1" hidden="1">
      <c r="A32" s="13">
        <v>401000</v>
      </c>
      <c r="B32" s="14" t="s">
        <v>458</v>
      </c>
      <c r="C32" s="27">
        <f>C33</f>
        <v>0</v>
      </c>
      <c r="D32" s="27"/>
      <c r="E32" s="27">
        <f>E33</f>
        <v>0</v>
      </c>
      <c r="F32" s="27">
        <f>F33</f>
        <v>0</v>
      </c>
    </row>
    <row r="33" spans="1:6" s="21" customFormat="1" ht="16.5" customHeight="1" hidden="1">
      <c r="A33" s="30">
        <v>401200</v>
      </c>
      <c r="B33" s="31" t="s">
        <v>459</v>
      </c>
      <c r="C33" s="32">
        <f>C34</f>
        <v>0</v>
      </c>
      <c r="D33" s="32"/>
      <c r="E33" s="32">
        <f>E34</f>
        <v>0</v>
      </c>
      <c r="F33" s="32">
        <f>F34</f>
        <v>0</v>
      </c>
    </row>
    <row r="34" spans="1:6" s="21" customFormat="1" ht="16.5" customHeight="1" hidden="1">
      <c r="A34" s="17">
        <v>401202</v>
      </c>
      <c r="B34" s="18" t="s">
        <v>62</v>
      </c>
      <c r="C34" s="28">
        <f>C28</f>
        <v>0</v>
      </c>
      <c r="D34" s="28"/>
      <c r="E34" s="28">
        <f>E28</f>
        <v>0</v>
      </c>
      <c r="F34" s="28">
        <f>F28</f>
        <v>0</v>
      </c>
    </row>
    <row r="35" spans="1:6" s="21" customFormat="1" ht="16.5" customHeight="1">
      <c r="A35" s="13">
        <v>402000</v>
      </c>
      <c r="B35" s="14" t="s">
        <v>60</v>
      </c>
      <c r="C35" s="27">
        <f>C38+C36</f>
        <v>-1685572</v>
      </c>
      <c r="D35" s="27">
        <f>D38+D36</f>
        <v>0</v>
      </c>
      <c r="E35" s="27">
        <f>E38+E36</f>
        <v>-1685572</v>
      </c>
      <c r="F35" s="27">
        <f>F38+F36</f>
        <v>-1685572</v>
      </c>
    </row>
    <row r="36" spans="1:6" s="22" customFormat="1" ht="16.5" customHeight="1" hidden="1">
      <c r="A36" s="30">
        <v>402100</v>
      </c>
      <c r="B36" s="31" t="s">
        <v>61</v>
      </c>
      <c r="C36" s="32">
        <f>E36</f>
        <v>0</v>
      </c>
      <c r="D36" s="32"/>
      <c r="E36" s="32">
        <f>E37</f>
        <v>0</v>
      </c>
      <c r="F36" s="32">
        <f>E36</f>
        <v>0</v>
      </c>
    </row>
    <row r="37" spans="1:6" s="21" customFormat="1" ht="16.5" customHeight="1" hidden="1">
      <c r="A37" s="17">
        <v>402102</v>
      </c>
      <c r="B37" s="18" t="s">
        <v>62</v>
      </c>
      <c r="C37" s="28">
        <f>E37</f>
        <v>0</v>
      </c>
      <c r="D37" s="28"/>
      <c r="E37" s="28">
        <f>E15</f>
        <v>0</v>
      </c>
      <c r="F37" s="28">
        <f>E37</f>
        <v>0</v>
      </c>
    </row>
    <row r="38" spans="1:6" s="21" customFormat="1" ht="16.5" customHeight="1">
      <c r="A38" s="30">
        <v>402200</v>
      </c>
      <c r="B38" s="31" t="s">
        <v>460</v>
      </c>
      <c r="C38" s="28">
        <f>C39</f>
        <v>-1685572</v>
      </c>
      <c r="D38" s="28"/>
      <c r="E38" s="28">
        <f>E39</f>
        <v>-1685572</v>
      </c>
      <c r="F38" s="28">
        <f>F39</f>
        <v>-1685572</v>
      </c>
    </row>
    <row r="39" spans="1:6" s="21" customFormat="1" ht="16.5" customHeight="1">
      <c r="A39" s="17">
        <v>402202</v>
      </c>
      <c r="B39" s="18" t="s">
        <v>62</v>
      </c>
      <c r="C39" s="28">
        <f>C29</f>
        <v>-1685572</v>
      </c>
      <c r="D39" s="28"/>
      <c r="E39" s="28">
        <f>E29</f>
        <v>-1685572</v>
      </c>
      <c r="F39" s="28">
        <f>F29</f>
        <v>-1685572</v>
      </c>
    </row>
    <row r="40" spans="1:12" s="35" customFormat="1" ht="15">
      <c r="A40" s="9">
        <v>600000</v>
      </c>
      <c r="B40" s="33" t="s">
        <v>461</v>
      </c>
      <c r="C40" s="11">
        <f>C41</f>
        <v>23325143.540000003</v>
      </c>
      <c r="D40" s="11">
        <f>D41</f>
        <v>-501197239.35</v>
      </c>
      <c r="E40" s="11">
        <f>E41</f>
        <v>524522382.89</v>
      </c>
      <c r="F40" s="11">
        <f>F41</f>
        <v>521375784.55</v>
      </c>
      <c r="G40" s="34"/>
      <c r="H40" s="34"/>
      <c r="I40" s="34"/>
      <c r="J40" s="34"/>
      <c r="K40" s="34"/>
      <c r="L40" s="34"/>
    </row>
    <row r="41" spans="1:7" s="16" customFormat="1" ht="15">
      <c r="A41" s="13" t="s">
        <v>462</v>
      </c>
      <c r="B41" s="14" t="s">
        <v>463</v>
      </c>
      <c r="C41" s="36">
        <f>C42-C43+C46+C44</f>
        <v>23325143.540000003</v>
      </c>
      <c r="D41" s="36">
        <f>D42-D43+D46</f>
        <v>-501197239.35</v>
      </c>
      <c r="E41" s="36">
        <f>E42-E43+E46+E44</f>
        <v>524522382.89</v>
      </c>
      <c r="F41" s="36">
        <f>F42-F43+F46+F44</f>
        <v>521375784.55</v>
      </c>
      <c r="G41" s="37"/>
    </row>
    <row r="42" spans="1:6" ht="18" customHeight="1">
      <c r="A42" s="17" t="s">
        <v>464</v>
      </c>
      <c r="B42" s="18" t="s">
        <v>881</v>
      </c>
      <c r="C42" s="38">
        <f aca="true" t="shared" si="0" ref="C42:F43">C17</f>
        <v>27385892.89</v>
      </c>
      <c r="D42" s="38">
        <f t="shared" si="0"/>
        <v>23726407.59</v>
      </c>
      <c r="E42" s="38">
        <f t="shared" si="0"/>
        <v>3659485.3</v>
      </c>
      <c r="F42" s="38">
        <f t="shared" si="0"/>
        <v>511993.55</v>
      </c>
    </row>
    <row r="43" spans="1:6" ht="18" customHeight="1">
      <c r="A43" s="17" t="s">
        <v>465</v>
      </c>
      <c r="B43" s="18" t="s">
        <v>882</v>
      </c>
      <c r="C43" s="38">
        <f t="shared" si="0"/>
        <v>4060749.349999999</v>
      </c>
      <c r="D43" s="38">
        <f t="shared" si="0"/>
        <v>4059855.9399999995</v>
      </c>
      <c r="E43" s="38">
        <f t="shared" si="0"/>
        <v>893.4099999996834</v>
      </c>
      <c r="F43" s="38">
        <f t="shared" si="0"/>
        <v>0</v>
      </c>
    </row>
    <row r="44" spans="1:6" ht="15" hidden="1">
      <c r="A44" s="17" t="s">
        <v>466</v>
      </c>
      <c r="B44" s="18" t="s">
        <v>884</v>
      </c>
      <c r="C44" s="225">
        <f>C45</f>
        <v>0</v>
      </c>
      <c r="D44" s="225">
        <f>D45</f>
        <v>0</v>
      </c>
      <c r="E44" s="225">
        <f>E45</f>
        <v>0</v>
      </c>
      <c r="F44" s="225">
        <f>F45</f>
        <v>0</v>
      </c>
    </row>
    <row r="45" spans="1:6" s="20" customFormat="1" ht="15" hidden="1">
      <c r="A45" s="17" t="s">
        <v>467</v>
      </c>
      <c r="B45" s="18" t="s">
        <v>884</v>
      </c>
      <c r="C45" s="225">
        <f aca="true" t="shared" si="1" ref="C45:F46">C20</f>
        <v>0</v>
      </c>
      <c r="D45" s="225">
        <f t="shared" si="1"/>
        <v>0</v>
      </c>
      <c r="E45" s="225">
        <f t="shared" si="1"/>
        <v>0</v>
      </c>
      <c r="F45" s="225">
        <f t="shared" si="1"/>
        <v>0</v>
      </c>
    </row>
    <row r="46" spans="1:7" ht="48" customHeight="1">
      <c r="A46" s="17" t="s">
        <v>468</v>
      </c>
      <c r="B46" s="18" t="s">
        <v>352</v>
      </c>
      <c r="C46" s="38">
        <f t="shared" si="1"/>
        <v>0</v>
      </c>
      <c r="D46" s="38">
        <f t="shared" si="1"/>
        <v>-520863791</v>
      </c>
      <c r="E46" s="38">
        <f t="shared" si="1"/>
        <v>520863791</v>
      </c>
      <c r="F46" s="38">
        <f t="shared" si="1"/>
        <v>520863791</v>
      </c>
      <c r="G46" s="3"/>
    </row>
    <row r="47" spans="1:6" s="324" customFormat="1" ht="15">
      <c r="A47" s="323"/>
      <c r="B47" s="323" t="s">
        <v>170</v>
      </c>
      <c r="C47" s="325">
        <f>C9+C26</f>
        <v>21639571.53999996</v>
      </c>
      <c r="D47" s="325">
        <f>D9+D26</f>
        <v>-501197239.35</v>
      </c>
      <c r="E47" s="325">
        <f>E9+E26</f>
        <v>522836810.89</v>
      </c>
      <c r="F47" s="325">
        <f>F9+F26</f>
        <v>519690212.55</v>
      </c>
    </row>
    <row r="49" spans="1:12" s="40" customFormat="1" ht="31.5" customHeight="1">
      <c r="A49" s="806" t="s">
        <v>283</v>
      </c>
      <c r="B49" s="806"/>
      <c r="C49" s="273"/>
      <c r="D49" s="39"/>
      <c r="E49" s="273"/>
      <c r="F49" s="39" t="s">
        <v>700</v>
      </c>
      <c r="G49" s="1"/>
      <c r="H49" s="1"/>
      <c r="I49" s="1"/>
      <c r="J49" s="1"/>
      <c r="K49" s="1"/>
      <c r="L49" s="1"/>
    </row>
    <row r="50" spans="4:6" ht="12.75" customHeight="1">
      <c r="D50" s="41"/>
      <c r="E50" s="41"/>
      <c r="F50" s="41"/>
    </row>
    <row r="51" spans="5:6" ht="12.75" customHeight="1">
      <c r="E51" s="41"/>
      <c r="F51" s="41"/>
    </row>
    <row r="54" spans="3:6" ht="12.75" customHeight="1" hidden="1">
      <c r="C54" s="41">
        <f>C9+C26</f>
        <v>21639571.53999996</v>
      </c>
      <c r="D54" s="41">
        <f>D9+D26</f>
        <v>-501197239.35</v>
      </c>
      <c r="E54" s="41">
        <f>E9+E26</f>
        <v>522836810.89</v>
      </c>
      <c r="F54" s="41">
        <f>F9+F26</f>
        <v>519690212.55</v>
      </c>
    </row>
    <row r="57" ht="12.75" customHeight="1">
      <c r="E57" s="41"/>
    </row>
  </sheetData>
  <sheetProtection/>
  <mergeCells count="11">
    <mergeCell ref="A2:F2"/>
    <mergeCell ref="A8:F8"/>
    <mergeCell ref="A30:F30"/>
    <mergeCell ref="E1:F1"/>
    <mergeCell ref="A49:B49"/>
    <mergeCell ref="A5:E5"/>
    <mergeCell ref="C6:C7"/>
    <mergeCell ref="D6:D7"/>
    <mergeCell ref="E6:F6"/>
    <mergeCell ref="B6:B7"/>
    <mergeCell ref="A6:A7"/>
  </mergeCells>
  <printOptions horizontalCentered="1"/>
  <pageMargins left="0.7874015748031497" right="0.5118110236220472" top="0.5905511811023623" bottom="0.7874015748031497"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Y399"/>
  <sheetViews>
    <sheetView showGridLines="0" showZeros="0" view="pageBreakPreview" zoomScale="62" zoomScaleNormal="87" zoomScaleSheetLayoutView="62" zoomScalePageLayoutView="0" workbookViewId="0" topLeftCell="A7">
      <pane xSplit="4" ySplit="4" topLeftCell="E372" activePane="bottomRight" state="frozen"/>
      <selection pane="topLeft" activeCell="A7" sqref="A7"/>
      <selection pane="topRight" activeCell="E7" sqref="E7"/>
      <selection pane="bottomLeft" activeCell="A11" sqref="A11"/>
      <selection pane="bottomRight" activeCell="K11" sqref="K1:K16384"/>
    </sheetView>
  </sheetViews>
  <sheetFormatPr defaultColWidth="9.16015625" defaultRowHeight="12.75"/>
  <cols>
    <col min="1" max="1" width="16.5" style="1" customWidth="1"/>
    <col min="2" max="2" width="11.16015625" style="1" customWidth="1"/>
    <col min="3" max="3" width="9.83203125" style="1" customWidth="1"/>
    <col min="4" max="4" width="44.83203125" style="1" customWidth="1"/>
    <col min="5" max="5" width="22.33203125" style="43" customWidth="1"/>
    <col min="6" max="6" width="21.66015625" style="1" customWidth="1"/>
    <col min="7" max="7" width="21.83203125" style="1" customWidth="1"/>
    <col min="8" max="8" width="18.66015625" style="1" customWidth="1"/>
    <col min="9" max="9" width="18.5" style="1" customWidth="1"/>
    <col min="10" max="10" width="19.83203125" style="1" customWidth="1"/>
    <col min="11" max="11" width="20.33203125" style="1" hidden="1" customWidth="1"/>
    <col min="12" max="12" width="19.83203125" style="1" customWidth="1"/>
    <col min="13" max="13" width="20" style="43" customWidth="1"/>
    <col min="14" max="14" width="21" style="1" customWidth="1"/>
    <col min="15" max="15" width="19.33203125" style="1" customWidth="1"/>
    <col min="16" max="16" width="18" style="1" customWidth="1"/>
    <col min="17" max="17" width="17.5" style="1" customWidth="1"/>
    <col min="18" max="18" width="19.5" style="1" customWidth="1"/>
    <col min="19" max="19" width="17.16015625" style="1" customWidth="1"/>
    <col min="20" max="20" width="20.33203125" style="1" customWidth="1"/>
    <col min="21" max="21" width="19.33203125" style="1" customWidth="1"/>
    <col min="22" max="22" width="24" style="43" customWidth="1"/>
    <col min="23" max="23" width="18.33203125" style="40" customWidth="1"/>
    <col min="24" max="24" width="18" style="40" customWidth="1"/>
    <col min="25" max="16384" width="9.16015625" style="40" customWidth="1"/>
  </cols>
  <sheetData>
    <row r="1" spans="21:22" ht="13.5" customHeight="1">
      <c r="U1" s="822" t="s">
        <v>930</v>
      </c>
      <c r="V1" s="823"/>
    </row>
    <row r="2" spans="21:22" ht="172.5" customHeight="1">
      <c r="U2" s="823"/>
      <c r="V2" s="823"/>
    </row>
    <row r="3" spans="1:22" ht="45.75" customHeight="1">
      <c r="A3" s="827" t="s">
        <v>159</v>
      </c>
      <c r="B3" s="827"/>
      <c r="C3" s="828"/>
      <c r="D3" s="828"/>
      <c r="E3" s="828"/>
      <c r="F3" s="828"/>
      <c r="G3" s="828"/>
      <c r="H3" s="828"/>
      <c r="I3" s="828"/>
      <c r="J3" s="828"/>
      <c r="K3" s="828"/>
      <c r="L3" s="828"/>
      <c r="M3" s="828"/>
      <c r="N3" s="828"/>
      <c r="O3" s="828"/>
      <c r="P3" s="828"/>
      <c r="Q3" s="828"/>
      <c r="R3" s="828"/>
      <c r="S3" s="828"/>
      <c r="T3" s="828"/>
      <c r="U3" s="828"/>
      <c r="V3" s="828"/>
    </row>
    <row r="4" spans="1:22" ht="22.5">
      <c r="A4" s="321">
        <v>23201100000</v>
      </c>
      <c r="B4" s="326"/>
      <c r="C4" s="317"/>
      <c r="D4" s="317"/>
      <c r="E4" s="317"/>
      <c r="F4" s="317"/>
      <c r="G4" s="317"/>
      <c r="H4" s="317"/>
      <c r="I4" s="317"/>
      <c r="J4" s="317"/>
      <c r="K4" s="317"/>
      <c r="L4" s="317"/>
      <c r="M4" s="317"/>
      <c r="N4" s="317"/>
      <c r="O4" s="317"/>
      <c r="P4" s="317"/>
      <c r="Q4" s="317"/>
      <c r="R4" s="317"/>
      <c r="S4" s="317"/>
      <c r="T4" s="317"/>
      <c r="U4" s="317"/>
      <c r="V4" s="317"/>
    </row>
    <row r="5" spans="1:22" ht="45.75" customHeight="1">
      <c r="A5" s="320" t="s">
        <v>162</v>
      </c>
      <c r="B5" s="326"/>
      <c r="C5" s="317"/>
      <c r="D5" s="317"/>
      <c r="E5" s="317"/>
      <c r="F5" s="317"/>
      <c r="G5" s="317"/>
      <c r="H5" s="317"/>
      <c r="I5" s="317"/>
      <c r="J5" s="317"/>
      <c r="K5" s="317"/>
      <c r="L5" s="317"/>
      <c r="M5" s="317"/>
      <c r="N5" s="317"/>
      <c r="O5" s="317"/>
      <c r="P5" s="317"/>
      <c r="Q5" s="317"/>
      <c r="R5" s="317"/>
      <c r="S5" s="317"/>
      <c r="T5" s="317"/>
      <c r="U5" s="317"/>
      <c r="V5" s="317"/>
    </row>
    <row r="6" spans="1:22" ht="9" customHeight="1">
      <c r="A6" s="102"/>
      <c r="B6" s="327"/>
      <c r="C6" s="103"/>
      <c r="D6" s="103"/>
      <c r="E6" s="141"/>
      <c r="F6" s="103"/>
      <c r="G6" s="142"/>
      <c r="H6" s="142"/>
      <c r="I6" s="142"/>
      <c r="J6" s="103"/>
      <c r="K6" s="103"/>
      <c r="L6" s="103"/>
      <c r="M6" s="42"/>
      <c r="N6" s="143"/>
      <c r="O6" s="143"/>
      <c r="P6" s="143"/>
      <c r="Q6" s="143"/>
      <c r="R6" s="143"/>
      <c r="S6" s="143"/>
      <c r="T6" s="143"/>
      <c r="U6" s="143"/>
      <c r="V6" s="144" t="s">
        <v>238</v>
      </c>
    </row>
    <row r="7" spans="1:22" ht="15" customHeight="1">
      <c r="A7" s="829" t="s">
        <v>164</v>
      </c>
      <c r="B7" s="829" t="s">
        <v>165</v>
      </c>
      <c r="C7" s="816" t="s">
        <v>685</v>
      </c>
      <c r="D7" s="817" t="s">
        <v>166</v>
      </c>
      <c r="E7" s="808" t="s">
        <v>92</v>
      </c>
      <c r="F7" s="808"/>
      <c r="G7" s="808"/>
      <c r="H7" s="808"/>
      <c r="I7" s="808"/>
      <c r="J7" s="808"/>
      <c r="K7" s="808"/>
      <c r="L7" s="808"/>
      <c r="M7" s="824" t="s">
        <v>521</v>
      </c>
      <c r="N7" s="825"/>
      <c r="O7" s="825"/>
      <c r="P7" s="825"/>
      <c r="Q7" s="825"/>
      <c r="R7" s="825"/>
      <c r="S7" s="825"/>
      <c r="T7" s="825"/>
      <c r="U7" s="826"/>
      <c r="V7" s="832" t="s">
        <v>831</v>
      </c>
    </row>
    <row r="8" spans="1:22" ht="16.5" customHeight="1">
      <c r="A8" s="830"/>
      <c r="B8" s="830"/>
      <c r="C8" s="816"/>
      <c r="D8" s="817"/>
      <c r="E8" s="821" t="s">
        <v>163</v>
      </c>
      <c r="F8" s="815" t="s">
        <v>828</v>
      </c>
      <c r="G8" s="833" t="s">
        <v>911</v>
      </c>
      <c r="H8" s="834"/>
      <c r="I8" s="834"/>
      <c r="J8" s="834"/>
      <c r="K8" s="826"/>
      <c r="L8" s="815" t="s">
        <v>829</v>
      </c>
      <c r="M8" s="821" t="s">
        <v>163</v>
      </c>
      <c r="N8" s="819" t="s">
        <v>634</v>
      </c>
      <c r="O8" s="815" t="s">
        <v>828</v>
      </c>
      <c r="P8" s="817" t="s">
        <v>911</v>
      </c>
      <c r="Q8" s="817"/>
      <c r="R8" s="817"/>
      <c r="S8" s="817"/>
      <c r="T8" s="815" t="s">
        <v>829</v>
      </c>
      <c r="U8" s="819" t="s">
        <v>911</v>
      </c>
      <c r="V8" s="832"/>
    </row>
    <row r="9" spans="1:22" ht="12.75">
      <c r="A9" s="830"/>
      <c r="B9" s="830"/>
      <c r="C9" s="816"/>
      <c r="D9" s="817"/>
      <c r="E9" s="821"/>
      <c r="F9" s="815"/>
      <c r="G9" s="817" t="s">
        <v>830</v>
      </c>
      <c r="H9" s="819" t="s">
        <v>866</v>
      </c>
      <c r="I9" s="819" t="s">
        <v>867</v>
      </c>
      <c r="J9" s="817" t="s">
        <v>868</v>
      </c>
      <c r="K9" s="817" t="s">
        <v>834</v>
      </c>
      <c r="L9" s="815"/>
      <c r="M9" s="821"/>
      <c r="N9" s="836"/>
      <c r="O9" s="815"/>
      <c r="P9" s="817" t="s">
        <v>830</v>
      </c>
      <c r="Q9" s="819" t="s">
        <v>866</v>
      </c>
      <c r="R9" s="819" t="s">
        <v>867</v>
      </c>
      <c r="S9" s="817" t="s">
        <v>868</v>
      </c>
      <c r="T9" s="815"/>
      <c r="U9" s="835"/>
      <c r="V9" s="832"/>
    </row>
    <row r="10" spans="1:22" ht="47.25" customHeight="1">
      <c r="A10" s="831"/>
      <c r="B10" s="831"/>
      <c r="C10" s="816"/>
      <c r="D10" s="817"/>
      <c r="E10" s="821"/>
      <c r="F10" s="815"/>
      <c r="G10" s="817"/>
      <c r="H10" s="820"/>
      <c r="I10" s="820"/>
      <c r="J10" s="817"/>
      <c r="K10" s="817"/>
      <c r="L10" s="815"/>
      <c r="M10" s="821"/>
      <c r="N10" s="835"/>
      <c r="O10" s="815"/>
      <c r="P10" s="817"/>
      <c r="Q10" s="820"/>
      <c r="R10" s="820"/>
      <c r="S10" s="817"/>
      <c r="T10" s="815"/>
      <c r="U10" s="286" t="s">
        <v>869</v>
      </c>
      <c r="V10" s="832"/>
    </row>
    <row r="11" spans="1:22" s="154" customFormat="1" ht="33.75" customHeight="1">
      <c r="A11" s="145" t="s">
        <v>336</v>
      </c>
      <c r="B11" s="158"/>
      <c r="C11" s="158"/>
      <c r="D11" s="159" t="s">
        <v>418</v>
      </c>
      <c r="E11" s="147">
        <f>E12</f>
        <v>43764013</v>
      </c>
      <c r="F11" s="147">
        <f>F12</f>
        <v>43764013</v>
      </c>
      <c r="G11" s="147">
        <f>G12</f>
        <v>40333454</v>
      </c>
      <c r="H11" s="160"/>
      <c r="I11" s="160"/>
      <c r="J11" s="160"/>
      <c r="K11" s="257">
        <f>K12</f>
        <v>3430559</v>
      </c>
      <c r="L11" s="160"/>
      <c r="M11" s="176">
        <f>M12</f>
        <v>1455151.54</v>
      </c>
      <c r="N11" s="176">
        <f aca="true" t="shared" si="0" ref="N11:U11">N12</f>
        <v>1455151.54</v>
      </c>
      <c r="O11" s="176">
        <f t="shared" si="0"/>
        <v>0</v>
      </c>
      <c r="P11" s="176">
        <f t="shared" si="0"/>
        <v>0</v>
      </c>
      <c r="Q11" s="176">
        <f t="shared" si="0"/>
        <v>0</v>
      </c>
      <c r="R11" s="176">
        <f t="shared" si="0"/>
        <v>0</v>
      </c>
      <c r="S11" s="176">
        <f t="shared" si="0"/>
        <v>0</v>
      </c>
      <c r="T11" s="176">
        <f t="shared" si="0"/>
        <v>1455151.54</v>
      </c>
      <c r="U11" s="176">
        <f t="shared" si="0"/>
        <v>0</v>
      </c>
      <c r="V11" s="147">
        <f>E11+M11</f>
        <v>45219164.54</v>
      </c>
    </row>
    <row r="12" spans="1:22" s="97" customFormat="1" ht="33" customHeight="1">
      <c r="A12" s="145" t="s">
        <v>339</v>
      </c>
      <c r="B12" s="158"/>
      <c r="C12" s="158"/>
      <c r="D12" s="159" t="s">
        <v>418</v>
      </c>
      <c r="E12" s="147">
        <f>E13+E14</f>
        <v>43764013</v>
      </c>
      <c r="F12" s="147">
        <f>F13+F14</f>
        <v>43764013</v>
      </c>
      <c r="G12" s="147">
        <f>G13+G14</f>
        <v>40333454</v>
      </c>
      <c r="H12" s="147">
        <f aca="true" t="shared" si="1" ref="H12:U12">H13</f>
        <v>0</v>
      </c>
      <c r="I12" s="147">
        <f t="shared" si="1"/>
        <v>0</v>
      </c>
      <c r="J12" s="147">
        <f t="shared" si="1"/>
        <v>0</v>
      </c>
      <c r="K12" s="147">
        <f>K13+K14</f>
        <v>3430559</v>
      </c>
      <c r="L12" s="147">
        <f t="shared" si="1"/>
        <v>0</v>
      </c>
      <c r="M12" s="147">
        <f t="shared" si="1"/>
        <v>1455151.54</v>
      </c>
      <c r="N12" s="147">
        <f t="shared" si="1"/>
        <v>1455151.54</v>
      </c>
      <c r="O12" s="147">
        <f t="shared" si="1"/>
        <v>0</v>
      </c>
      <c r="P12" s="147">
        <f t="shared" si="1"/>
        <v>0</v>
      </c>
      <c r="Q12" s="147">
        <f t="shared" si="1"/>
        <v>0</v>
      </c>
      <c r="R12" s="147">
        <f t="shared" si="1"/>
        <v>0</v>
      </c>
      <c r="S12" s="147">
        <f t="shared" si="1"/>
        <v>0</v>
      </c>
      <c r="T12" s="147">
        <f t="shared" si="1"/>
        <v>1455151.54</v>
      </c>
      <c r="U12" s="147">
        <f t="shared" si="1"/>
        <v>0</v>
      </c>
      <c r="V12" s="147">
        <f>E12+M12</f>
        <v>45219164.54</v>
      </c>
    </row>
    <row r="13" spans="1:22" ht="48" customHeight="1">
      <c r="A13" s="44" t="s">
        <v>788</v>
      </c>
      <c r="B13" s="109" t="s">
        <v>367</v>
      </c>
      <c r="C13" s="109" t="s">
        <v>105</v>
      </c>
      <c r="D13" s="148" t="s">
        <v>360</v>
      </c>
      <c r="E13" s="147">
        <f>F13</f>
        <v>42699813</v>
      </c>
      <c r="F13" s="149">
        <f>SUM(G13:K13)</f>
        <v>42699813</v>
      </c>
      <c r="G13" s="149">
        <v>40333454</v>
      </c>
      <c r="H13" s="149"/>
      <c r="I13" s="149"/>
      <c r="J13" s="149"/>
      <c r="K13" s="149">
        <f>2323739+42620</f>
        <v>2366359</v>
      </c>
      <c r="L13" s="149"/>
      <c r="M13" s="147">
        <f>O13+T13</f>
        <v>1455151.54</v>
      </c>
      <c r="N13" s="99">
        <f>T13</f>
        <v>1455151.54</v>
      </c>
      <c r="O13" s="149"/>
      <c r="P13" s="149"/>
      <c r="Q13" s="149"/>
      <c r="R13" s="149"/>
      <c r="S13" s="149"/>
      <c r="T13" s="99">
        <f>1655151.54-200000</f>
        <v>1455151.54</v>
      </c>
      <c r="U13" s="99"/>
      <c r="V13" s="147">
        <f>E13+M13</f>
        <v>44154964.54</v>
      </c>
    </row>
    <row r="14" spans="1:22" ht="30" customHeight="1">
      <c r="A14" s="44" t="s">
        <v>284</v>
      </c>
      <c r="B14" s="109" t="s">
        <v>106</v>
      </c>
      <c r="C14" s="109" t="s">
        <v>889</v>
      </c>
      <c r="D14" s="163" t="s">
        <v>76</v>
      </c>
      <c r="E14" s="147">
        <f>F14</f>
        <v>1064200</v>
      </c>
      <c r="F14" s="149">
        <f>SUM(G14:K14)</f>
        <v>1064200</v>
      </c>
      <c r="G14" s="149"/>
      <c r="H14" s="149"/>
      <c r="I14" s="149"/>
      <c r="J14" s="149"/>
      <c r="K14" s="149">
        <f>K15</f>
        <v>1064200</v>
      </c>
      <c r="L14" s="149"/>
      <c r="M14" s="147"/>
      <c r="N14" s="99"/>
      <c r="O14" s="149"/>
      <c r="P14" s="149"/>
      <c r="Q14" s="149"/>
      <c r="R14" s="149"/>
      <c r="S14" s="149"/>
      <c r="T14" s="99"/>
      <c r="U14" s="99"/>
      <c r="V14" s="147">
        <f>E14+M14</f>
        <v>1064200</v>
      </c>
    </row>
    <row r="15" spans="1:22" s="154" customFormat="1" ht="59.25" customHeight="1">
      <c r="A15" s="47"/>
      <c r="B15" s="48"/>
      <c r="C15" s="48"/>
      <c r="D15" s="231" t="s">
        <v>285</v>
      </c>
      <c r="E15" s="156">
        <f>E14</f>
        <v>1064200</v>
      </c>
      <c r="F15" s="152">
        <f>F14</f>
        <v>1064200</v>
      </c>
      <c r="G15" s="152"/>
      <c r="H15" s="152"/>
      <c r="I15" s="152"/>
      <c r="J15" s="152"/>
      <c r="K15" s="152">
        <v>1064200</v>
      </c>
      <c r="L15" s="152"/>
      <c r="M15" s="156"/>
      <c r="N15" s="162"/>
      <c r="O15" s="152"/>
      <c r="P15" s="152"/>
      <c r="Q15" s="152"/>
      <c r="R15" s="152"/>
      <c r="S15" s="152"/>
      <c r="T15" s="162"/>
      <c r="U15" s="162"/>
      <c r="V15" s="156">
        <f>V14</f>
        <v>1064200</v>
      </c>
    </row>
    <row r="16" spans="1:22" s="97" customFormat="1" ht="31.5" customHeight="1">
      <c r="A16" s="145" t="s">
        <v>787</v>
      </c>
      <c r="B16" s="158"/>
      <c r="C16" s="145"/>
      <c r="D16" s="159" t="s">
        <v>833</v>
      </c>
      <c r="E16" s="147">
        <f aca="true" t="shared" si="2" ref="E16:U16">E17</f>
        <v>1187532215.19</v>
      </c>
      <c r="F16" s="147">
        <f t="shared" si="2"/>
        <v>1187397289.19</v>
      </c>
      <c r="G16" s="147">
        <f t="shared" si="2"/>
        <v>922368311.03</v>
      </c>
      <c r="H16" s="147">
        <f t="shared" si="2"/>
        <v>126907</v>
      </c>
      <c r="I16" s="147">
        <f t="shared" si="2"/>
        <v>47202818.64</v>
      </c>
      <c r="J16" s="147">
        <f t="shared" si="2"/>
        <v>87162036</v>
      </c>
      <c r="K16" s="147">
        <f t="shared" si="2"/>
        <v>130537216.52</v>
      </c>
      <c r="L16" s="147">
        <f t="shared" si="2"/>
        <v>134926</v>
      </c>
      <c r="M16" s="147">
        <f t="shared" si="2"/>
        <v>190588218.63</v>
      </c>
      <c r="N16" s="147">
        <f t="shared" si="2"/>
        <v>115701559.97</v>
      </c>
      <c r="O16" s="147">
        <f t="shared" si="2"/>
        <v>72902929</v>
      </c>
      <c r="P16" s="147">
        <f t="shared" si="2"/>
        <v>26807551</v>
      </c>
      <c r="Q16" s="147">
        <f t="shared" si="2"/>
        <v>41500</v>
      </c>
      <c r="R16" s="147">
        <f t="shared" si="2"/>
        <v>30528441</v>
      </c>
      <c r="S16" s="147">
        <f t="shared" si="2"/>
        <v>6901914</v>
      </c>
      <c r="T16" s="147">
        <f t="shared" si="2"/>
        <v>117685289.63</v>
      </c>
      <c r="U16" s="147">
        <f t="shared" si="2"/>
        <v>51317346.41</v>
      </c>
      <c r="V16" s="147">
        <f aca="true" t="shared" si="3" ref="V16:V36">M16+E16</f>
        <v>1378120433.8200002</v>
      </c>
    </row>
    <row r="17" spans="1:25" s="97" customFormat="1" ht="34.5" customHeight="1">
      <c r="A17" s="145" t="s">
        <v>786</v>
      </c>
      <c r="B17" s="158"/>
      <c r="C17" s="145"/>
      <c r="D17" s="159" t="s">
        <v>833</v>
      </c>
      <c r="E17" s="147">
        <f>E18+E19+E49+E57+E64+E81+E80</f>
        <v>1187532215.19</v>
      </c>
      <c r="F17" s="147">
        <f>F18+F19+F49+F57+F64+F81</f>
        <v>1187397289.19</v>
      </c>
      <c r="G17" s="147">
        <f>G18+G19+G49+G57+G64+G81</f>
        <v>922368311.03</v>
      </c>
      <c r="H17" s="147">
        <f>H18+H19+H49+H57+H64+H81</f>
        <v>126907</v>
      </c>
      <c r="I17" s="147">
        <f>I18+I19+I49+I57+I64+I81</f>
        <v>47202818.64</v>
      </c>
      <c r="J17" s="147">
        <f>J18+J19+J49+J57+J64+J81</f>
        <v>87162036</v>
      </c>
      <c r="K17" s="147">
        <f>K18+K19+K49+K57+K64+K81+K80</f>
        <v>130537216.52</v>
      </c>
      <c r="L17" s="147">
        <f>L80</f>
        <v>134926</v>
      </c>
      <c r="M17" s="147">
        <f>M18+M19+M49+M57+M64+M80+M84+M89+M81+M85+M87+M77+M79+M91+M86</f>
        <v>190588218.63</v>
      </c>
      <c r="N17" s="147">
        <f>N18+N19+N49+N57+N64+N81+N80+N84+N85+N91+N89+N87+N77+N79+N86</f>
        <v>115701559.97</v>
      </c>
      <c r="O17" s="147">
        <f>O18+O19+O49+O57+O64+O81+O80+O84+O85+O91+O89+O87</f>
        <v>72902929</v>
      </c>
      <c r="P17" s="147">
        <f>P18+P19+P49+P57+P64+P81+P80+P84+P85+P91+P89+P87</f>
        <v>26807551</v>
      </c>
      <c r="Q17" s="147">
        <f>Q18+Q19+Q49+Q57+Q64+Q81+Q80+Q84+Q85+Q91+Q89+Q87</f>
        <v>41500</v>
      </c>
      <c r="R17" s="147">
        <f>R18+R19+R49+R57+R64+R81+R80+R84+R85+R91+R89+R87</f>
        <v>30528441</v>
      </c>
      <c r="S17" s="147">
        <f>S18+S19+S49+S57+S64+S81+S80+S84+S85+S91+S89+S87</f>
        <v>6901914</v>
      </c>
      <c r="T17" s="147">
        <f>T19+T18+T49+T57+T64+T80+T84+T89+T81+T85+T87+T77+T79+T91+T86</f>
        <v>117685289.63</v>
      </c>
      <c r="U17" s="147">
        <f>U18+U19+U49+U57+U64+U81+U80+U84+U85+U91+U89+U87+U86</f>
        <v>51317346.41</v>
      </c>
      <c r="V17" s="147">
        <f t="shared" si="3"/>
        <v>1378120433.8200002</v>
      </c>
      <c r="X17" s="309"/>
      <c r="Y17" s="308"/>
    </row>
    <row r="18" spans="1:22" ht="48" customHeight="1">
      <c r="A18" s="44" t="s">
        <v>785</v>
      </c>
      <c r="B18" s="109" t="s">
        <v>367</v>
      </c>
      <c r="C18" s="109" t="s">
        <v>105</v>
      </c>
      <c r="D18" s="148" t="s">
        <v>360</v>
      </c>
      <c r="E18" s="147">
        <f>F18</f>
        <v>14722438.62</v>
      </c>
      <c r="F18" s="149">
        <f>SUM(G18:K18)</f>
        <v>14722438.62</v>
      </c>
      <c r="G18" s="149">
        <f>13001009+925456.62</f>
        <v>13926465.62</v>
      </c>
      <c r="H18" s="149"/>
      <c r="I18" s="149"/>
      <c r="J18" s="149"/>
      <c r="K18" s="149">
        <f>295973+600000-100000</f>
        <v>795973</v>
      </c>
      <c r="L18" s="149"/>
      <c r="M18" s="147"/>
      <c r="N18" s="149"/>
      <c r="O18" s="149"/>
      <c r="P18" s="149"/>
      <c r="Q18" s="149"/>
      <c r="R18" s="149"/>
      <c r="S18" s="149"/>
      <c r="T18" s="149"/>
      <c r="U18" s="149"/>
      <c r="V18" s="147">
        <f t="shared" si="3"/>
        <v>14722438.62</v>
      </c>
    </row>
    <row r="19" spans="1:22" ht="15">
      <c r="A19" s="44" t="s">
        <v>784</v>
      </c>
      <c r="B19" s="101">
        <v>1000</v>
      </c>
      <c r="C19" s="44"/>
      <c r="D19" s="161" t="s">
        <v>419</v>
      </c>
      <c r="E19" s="147">
        <f>F19</f>
        <v>1061290711.57</v>
      </c>
      <c r="F19" s="98">
        <f>F26+F28+F37+F39+F40+F42+F43+F80+F36+F47</f>
        <v>1061290711.57</v>
      </c>
      <c r="G19" s="98">
        <f>G26+G28+G37+G39+G40+G42+G43+G36+G47</f>
        <v>855879858.41</v>
      </c>
      <c r="H19" s="98">
        <f>H26+H28+H37+H39+H40+H42+H43+H36</f>
        <v>109507</v>
      </c>
      <c r="I19" s="98">
        <f>I26+I28+I37+I39+I40+I42+I43+I36</f>
        <v>43301326.64</v>
      </c>
      <c r="J19" s="98">
        <f>J26+J28+J37+J39+J40+J42+J43+J36</f>
        <v>83586848</v>
      </c>
      <c r="K19" s="98">
        <f>K26+K28+K37+K39+K40+K42+K43+K36+K47</f>
        <v>78413171.52</v>
      </c>
      <c r="L19" s="98">
        <f>L26+L28+L37+L39+L40+L42+L43</f>
        <v>0</v>
      </c>
      <c r="M19" s="147">
        <f>M26+M28+M37+M39+M40+M42+M43+M36+M47</f>
        <v>92173348.94</v>
      </c>
      <c r="N19" s="98">
        <f>N26+N28+N37+N39+N40+N42+N43+N36+N47</f>
        <v>17648209.939999998</v>
      </c>
      <c r="O19" s="98">
        <f>O26+O28+O37+O39+O40+O42+O43+O36</f>
        <v>72605191</v>
      </c>
      <c r="P19" s="98">
        <f>P26+P28+P37+P39+P40+P42+P43+P36</f>
        <v>26780493</v>
      </c>
      <c r="Q19" s="98">
        <f>Q26+Q28+Q37+Q39+Q40+Q42+Q43+Q36</f>
        <v>41500</v>
      </c>
      <c r="R19" s="98">
        <f>R26+R28+R37+R39+R40+R42+R43+R36</f>
        <v>30528441</v>
      </c>
      <c r="S19" s="98">
        <f>S26+S28+S37+S39+S40+S42+S43+S36</f>
        <v>6869528</v>
      </c>
      <c r="T19" s="98">
        <f>T26+T28+T37+T39+T40+T42+T43+T36+T47</f>
        <v>19568157.939999998</v>
      </c>
      <c r="U19" s="98">
        <f>U26+U28+U37+U39+U40+U42+U43+U36+U47</f>
        <v>11248209.94</v>
      </c>
      <c r="V19" s="147">
        <f t="shared" si="3"/>
        <v>1153464060.51</v>
      </c>
    </row>
    <row r="20" spans="1:22" s="154" customFormat="1" ht="28.5">
      <c r="A20" s="44"/>
      <c r="B20" s="121"/>
      <c r="C20" s="47"/>
      <c r="D20" s="151" t="s">
        <v>696</v>
      </c>
      <c r="E20" s="156">
        <f>F20</f>
        <v>353372100</v>
      </c>
      <c r="F20" s="162">
        <f>G20</f>
        <v>353372100</v>
      </c>
      <c r="G20" s="162">
        <f>G30+G41</f>
        <v>353372100</v>
      </c>
      <c r="H20" s="162"/>
      <c r="I20" s="162"/>
      <c r="J20" s="162"/>
      <c r="K20" s="162"/>
      <c r="L20" s="153"/>
      <c r="M20" s="156"/>
      <c r="N20" s="152"/>
      <c r="O20" s="153"/>
      <c r="P20" s="153"/>
      <c r="Q20" s="153"/>
      <c r="R20" s="153"/>
      <c r="S20" s="153"/>
      <c r="T20" s="152"/>
      <c r="U20" s="152"/>
      <c r="V20" s="156">
        <f t="shared" si="3"/>
        <v>353372100</v>
      </c>
    </row>
    <row r="21" spans="1:22" s="154" customFormat="1" ht="56.25" customHeight="1">
      <c r="A21" s="44"/>
      <c r="B21" s="121"/>
      <c r="C21" s="47"/>
      <c r="D21" s="151" t="s">
        <v>239</v>
      </c>
      <c r="E21" s="156">
        <f>F21+L21</f>
        <v>1137408</v>
      </c>
      <c r="F21" s="162">
        <f aca="true" t="shared" si="4" ref="F21:L21">F27+F32</f>
        <v>1137408</v>
      </c>
      <c r="G21" s="162">
        <f t="shared" si="4"/>
        <v>1137408</v>
      </c>
      <c r="H21" s="162">
        <f t="shared" si="4"/>
        <v>0</v>
      </c>
      <c r="I21" s="162">
        <f t="shared" si="4"/>
        <v>0</v>
      </c>
      <c r="J21" s="162">
        <f t="shared" si="4"/>
        <v>0</v>
      </c>
      <c r="K21" s="162">
        <f t="shared" si="4"/>
        <v>0</v>
      </c>
      <c r="L21" s="162">
        <f t="shared" si="4"/>
        <v>0</v>
      </c>
      <c r="M21" s="156">
        <f>O21+T21</f>
        <v>484983</v>
      </c>
      <c r="N21" s="162">
        <f aca="true" t="shared" si="5" ref="N21:U21">N27+N32</f>
        <v>484983</v>
      </c>
      <c r="O21" s="162">
        <f t="shared" si="5"/>
        <v>0</v>
      </c>
      <c r="P21" s="162">
        <f t="shared" si="5"/>
        <v>0</v>
      </c>
      <c r="Q21" s="162">
        <f t="shared" si="5"/>
        <v>0</v>
      </c>
      <c r="R21" s="162">
        <f t="shared" si="5"/>
        <v>0</v>
      </c>
      <c r="S21" s="162">
        <f t="shared" si="5"/>
        <v>0</v>
      </c>
      <c r="T21" s="162">
        <f t="shared" si="5"/>
        <v>484983</v>
      </c>
      <c r="U21" s="162">
        <f t="shared" si="5"/>
        <v>484983</v>
      </c>
      <c r="V21" s="156">
        <f t="shared" si="3"/>
        <v>1622391</v>
      </c>
    </row>
    <row r="22" spans="1:22" s="154" customFormat="1" ht="90.75" customHeight="1">
      <c r="A22" s="44"/>
      <c r="B22" s="121"/>
      <c r="C22" s="47"/>
      <c r="D22" s="151" t="s">
        <v>240</v>
      </c>
      <c r="E22" s="156">
        <f>F22+L22</f>
        <v>17747376</v>
      </c>
      <c r="F22" s="162">
        <f>F29</f>
        <v>17747376</v>
      </c>
      <c r="G22" s="162">
        <f aca="true" t="shared" si="6" ref="G22:L22">G29</f>
        <v>0</v>
      </c>
      <c r="H22" s="162">
        <f t="shared" si="6"/>
        <v>0</v>
      </c>
      <c r="I22" s="162">
        <f t="shared" si="6"/>
        <v>0</v>
      </c>
      <c r="J22" s="162">
        <f t="shared" si="6"/>
        <v>17747376</v>
      </c>
      <c r="K22" s="162">
        <f t="shared" si="6"/>
        <v>0</v>
      </c>
      <c r="L22" s="162">
        <f t="shared" si="6"/>
        <v>0</v>
      </c>
      <c r="M22" s="156"/>
      <c r="N22" s="152"/>
      <c r="O22" s="152"/>
      <c r="P22" s="152"/>
      <c r="Q22" s="152"/>
      <c r="R22" s="152"/>
      <c r="S22" s="152"/>
      <c r="T22" s="152"/>
      <c r="U22" s="152"/>
      <c r="V22" s="156">
        <f t="shared" si="3"/>
        <v>17747376</v>
      </c>
    </row>
    <row r="23" spans="1:22" s="154" customFormat="1" ht="56.25" customHeight="1">
      <c r="A23" s="44"/>
      <c r="B23" s="121"/>
      <c r="C23" s="47"/>
      <c r="D23" s="151" t="s">
        <v>241</v>
      </c>
      <c r="E23" s="156">
        <f>F23+L23</f>
        <v>3880240</v>
      </c>
      <c r="F23" s="162">
        <f aca="true" t="shared" si="7" ref="F23:L23">F31+F48</f>
        <v>3880240</v>
      </c>
      <c r="G23" s="162">
        <f t="shared" si="7"/>
        <v>938740</v>
      </c>
      <c r="H23" s="162">
        <f t="shared" si="7"/>
        <v>0</v>
      </c>
      <c r="I23" s="162">
        <f t="shared" si="7"/>
        <v>0</v>
      </c>
      <c r="J23" s="162">
        <f t="shared" si="7"/>
        <v>0</v>
      </c>
      <c r="K23" s="162">
        <f t="shared" si="7"/>
        <v>2941500</v>
      </c>
      <c r="L23" s="162">
        <f t="shared" si="7"/>
        <v>0</v>
      </c>
      <c r="M23" s="156"/>
      <c r="N23" s="152"/>
      <c r="O23" s="152"/>
      <c r="P23" s="152"/>
      <c r="Q23" s="152"/>
      <c r="R23" s="152"/>
      <c r="S23" s="152"/>
      <c r="T23" s="152"/>
      <c r="U23" s="152"/>
      <c r="V23" s="156">
        <f t="shared" si="3"/>
        <v>3880240</v>
      </c>
    </row>
    <row r="24" spans="1:22" s="154" customFormat="1" ht="56.25" customHeight="1">
      <c r="A24" s="44"/>
      <c r="B24" s="121"/>
      <c r="C24" s="47"/>
      <c r="D24" s="151" t="s">
        <v>941</v>
      </c>
      <c r="E24" s="156">
        <f>F24+L24</f>
        <v>4702632</v>
      </c>
      <c r="F24" s="162">
        <f>SUM(G24:K24)</f>
        <v>4702632</v>
      </c>
      <c r="G24" s="162"/>
      <c r="H24" s="162"/>
      <c r="I24" s="162"/>
      <c r="J24" s="162"/>
      <c r="K24" s="162">
        <f>K34</f>
        <v>4702632</v>
      </c>
      <c r="L24" s="162"/>
      <c r="M24" s="156"/>
      <c r="N24" s="152"/>
      <c r="O24" s="152"/>
      <c r="P24" s="152"/>
      <c r="Q24" s="152"/>
      <c r="R24" s="152"/>
      <c r="S24" s="152"/>
      <c r="T24" s="152"/>
      <c r="U24" s="152"/>
      <c r="V24" s="156">
        <f t="shared" si="3"/>
        <v>4702632</v>
      </c>
    </row>
    <row r="25" spans="1:22" s="154" customFormat="1" ht="25.5" customHeight="1">
      <c r="A25" s="44"/>
      <c r="B25" s="121"/>
      <c r="C25" s="47"/>
      <c r="D25" s="151" t="s">
        <v>302</v>
      </c>
      <c r="E25" s="156">
        <f>F25+L25</f>
        <v>127757</v>
      </c>
      <c r="F25" s="162">
        <f aca="true" t="shared" si="8" ref="F25:K25">F35</f>
        <v>127757</v>
      </c>
      <c r="G25" s="162">
        <f t="shared" si="8"/>
        <v>0</v>
      </c>
      <c r="H25" s="162">
        <f t="shared" si="8"/>
        <v>0</v>
      </c>
      <c r="I25" s="162">
        <f t="shared" si="8"/>
        <v>0</v>
      </c>
      <c r="J25" s="162">
        <f t="shared" si="8"/>
        <v>0</v>
      </c>
      <c r="K25" s="162">
        <f t="shared" si="8"/>
        <v>127757</v>
      </c>
      <c r="L25" s="153"/>
      <c r="M25" s="156"/>
      <c r="N25" s="152"/>
      <c r="O25" s="153"/>
      <c r="P25" s="153"/>
      <c r="Q25" s="153"/>
      <c r="R25" s="153"/>
      <c r="S25" s="153"/>
      <c r="T25" s="152"/>
      <c r="U25" s="152"/>
      <c r="V25" s="156">
        <f t="shared" si="3"/>
        <v>127757</v>
      </c>
    </row>
    <row r="26" spans="1:22" ht="15">
      <c r="A26" s="44" t="s">
        <v>783</v>
      </c>
      <c r="B26" s="101">
        <v>1010</v>
      </c>
      <c r="C26" s="109" t="s">
        <v>851</v>
      </c>
      <c r="D26" s="163" t="s">
        <v>789</v>
      </c>
      <c r="E26" s="147">
        <f aca="true" t="shared" si="9" ref="E26:E35">F26</f>
        <v>327900945.72</v>
      </c>
      <c r="F26" s="149">
        <f>SUM(G26:K26)</f>
        <v>327900945.72</v>
      </c>
      <c r="G26" s="149">
        <f>235388117+13082784+2000000+166347+118973.72+108653</f>
        <v>250864874.72</v>
      </c>
      <c r="H26" s="149">
        <v>17278</v>
      </c>
      <c r="I26" s="149">
        <f>27691970-1050000</f>
        <v>26641970</v>
      </c>
      <c r="J26" s="149">
        <f>37866582-240000-900000</f>
        <v>36726582</v>
      </c>
      <c r="K26" s="166">
        <f>13395962+4000000-1365721-2400000+20000</f>
        <v>13650241</v>
      </c>
      <c r="L26" s="149"/>
      <c r="M26" s="147">
        <f>O26+T26</f>
        <v>30803399</v>
      </c>
      <c r="N26" s="99">
        <f>83173+802000+73813-20000+53227</f>
        <v>992213</v>
      </c>
      <c r="O26" s="149">
        <v>29811186</v>
      </c>
      <c r="P26" s="149">
        <v>65535</v>
      </c>
      <c r="Q26" s="149"/>
      <c r="R26" s="149">
        <v>29055951</v>
      </c>
      <c r="S26" s="149">
        <v>327300</v>
      </c>
      <c r="T26" s="149">
        <f>83173+802000+73813-20000+53227</f>
        <v>992213</v>
      </c>
      <c r="U26" s="99">
        <f>83173+73813+53227</f>
        <v>210213</v>
      </c>
      <c r="V26" s="147">
        <f t="shared" si="3"/>
        <v>358704344.72</v>
      </c>
    </row>
    <row r="27" spans="1:22" s="154" customFormat="1" ht="72.75" customHeight="1">
      <c r="A27" s="47"/>
      <c r="B27" s="121"/>
      <c r="C27" s="48"/>
      <c r="D27" s="151" t="s">
        <v>239</v>
      </c>
      <c r="E27" s="156">
        <f t="shared" si="9"/>
        <v>275000</v>
      </c>
      <c r="F27" s="152">
        <f>SUM(G27:K27)</f>
        <v>275000</v>
      </c>
      <c r="G27" s="152">
        <f>166347+108653</f>
        <v>275000</v>
      </c>
      <c r="H27" s="152"/>
      <c r="I27" s="152"/>
      <c r="J27" s="152"/>
      <c r="K27" s="167"/>
      <c r="L27" s="152"/>
      <c r="M27" s="156">
        <f>O27+T27</f>
        <v>136400</v>
      </c>
      <c r="N27" s="152">
        <f>T27</f>
        <v>136400</v>
      </c>
      <c r="O27" s="152"/>
      <c r="P27" s="152"/>
      <c r="Q27" s="152"/>
      <c r="R27" s="152"/>
      <c r="S27" s="152"/>
      <c r="T27" s="152">
        <f>83173+53227</f>
        <v>136400</v>
      </c>
      <c r="U27" s="152">
        <f>83173+53227</f>
        <v>136400</v>
      </c>
      <c r="V27" s="156">
        <f t="shared" si="3"/>
        <v>411400</v>
      </c>
    </row>
    <row r="28" spans="1:22" ht="72" customHeight="1">
      <c r="A28" s="44" t="s">
        <v>782</v>
      </c>
      <c r="B28" s="101">
        <v>1020</v>
      </c>
      <c r="C28" s="109" t="s">
        <v>893</v>
      </c>
      <c r="D28" s="163" t="s">
        <v>186</v>
      </c>
      <c r="E28" s="147">
        <f t="shared" si="9"/>
        <v>517361497.46999997</v>
      </c>
      <c r="F28" s="149">
        <f>SUM(G28:K28)</f>
        <v>517361497.46999997</v>
      </c>
      <c r="G28" s="149">
        <f>418313580+23724+8000000-8000000+554589+187257.69+13310000+307819</f>
        <v>432696969.69</v>
      </c>
      <c r="H28" s="149">
        <v>44847</v>
      </c>
      <c r="I28" s="149">
        <f>17258704+1860300-1860300-2784961.36</f>
        <v>14473742.64</v>
      </c>
      <c r="J28" s="149">
        <f>36979569-4130000-1482212</f>
        <v>31367357</v>
      </c>
      <c r="K28" s="166">
        <f>19152707+9500000-500000+2462300+127757+625000+35000+200000+479200+4652632+50000+1993985.14</f>
        <v>38778581.14</v>
      </c>
      <c r="L28" s="149"/>
      <c r="M28" s="147">
        <f>O28+T28</f>
        <v>32953197.939999998</v>
      </c>
      <c r="N28" s="149">
        <f>293822+3280000-36179.7+300000+30000+2569338.64</f>
        <v>6436980.9399999995</v>
      </c>
      <c r="O28" s="149">
        <v>25046569</v>
      </c>
      <c r="P28" s="149">
        <v>19207440</v>
      </c>
      <c r="Q28" s="149">
        <v>7350</v>
      </c>
      <c r="R28" s="149">
        <v>26730</v>
      </c>
      <c r="S28" s="149">
        <v>1298808</v>
      </c>
      <c r="T28" s="99">
        <f>1469648+293822+3280000-36179.7+300000+30000+2569338.64</f>
        <v>7906628.9399999995</v>
      </c>
      <c r="U28" s="99">
        <f>293822+163820.3+2569338.64</f>
        <v>3026980.94</v>
      </c>
      <c r="V28" s="147">
        <f t="shared" si="3"/>
        <v>550314695.41</v>
      </c>
    </row>
    <row r="29" spans="1:22" ht="91.5" customHeight="1">
      <c r="A29" s="44"/>
      <c r="B29" s="101"/>
      <c r="C29" s="109"/>
      <c r="D29" s="151" t="s">
        <v>240</v>
      </c>
      <c r="E29" s="156">
        <f t="shared" si="9"/>
        <v>17747376</v>
      </c>
      <c r="F29" s="152">
        <f>J29</f>
        <v>17747376</v>
      </c>
      <c r="G29" s="152"/>
      <c r="H29" s="149"/>
      <c r="I29" s="149"/>
      <c r="J29" s="152">
        <v>17747376</v>
      </c>
      <c r="K29" s="167"/>
      <c r="L29" s="149"/>
      <c r="M29" s="147">
        <f aca="true" t="shared" si="10" ref="M29:M34">O29+T29</f>
        <v>0</v>
      </c>
      <c r="N29" s="152">
        <f>T29</f>
        <v>0</v>
      </c>
      <c r="O29" s="149"/>
      <c r="P29" s="149"/>
      <c r="Q29" s="149"/>
      <c r="R29" s="149"/>
      <c r="S29" s="149"/>
      <c r="T29" s="162"/>
      <c r="U29" s="162"/>
      <c r="V29" s="156">
        <f t="shared" si="3"/>
        <v>17747376</v>
      </c>
    </row>
    <row r="30" spans="1:22" s="154" customFormat="1" ht="33" customHeight="1">
      <c r="A30" s="109"/>
      <c r="B30" s="121"/>
      <c r="C30" s="48"/>
      <c r="D30" s="151" t="s">
        <v>528</v>
      </c>
      <c r="E30" s="156">
        <f t="shared" si="9"/>
        <v>344498296</v>
      </c>
      <c r="F30" s="152">
        <f>G30+K30</f>
        <v>344498296</v>
      </c>
      <c r="G30" s="152">
        <f>331188296+13310000</f>
        <v>344498296</v>
      </c>
      <c r="H30" s="152"/>
      <c r="I30" s="152"/>
      <c r="J30" s="152"/>
      <c r="K30" s="152"/>
      <c r="L30" s="152"/>
      <c r="M30" s="147">
        <f t="shared" si="10"/>
        <v>0</v>
      </c>
      <c r="N30" s="152"/>
      <c r="O30" s="152"/>
      <c r="P30" s="152"/>
      <c r="Q30" s="152"/>
      <c r="R30" s="152"/>
      <c r="S30" s="152"/>
      <c r="T30" s="152"/>
      <c r="U30" s="152"/>
      <c r="V30" s="156">
        <f t="shared" si="3"/>
        <v>344498296</v>
      </c>
    </row>
    <row r="31" spans="1:22" s="154" customFormat="1" ht="66.75" customHeight="1">
      <c r="A31" s="109"/>
      <c r="B31" s="121"/>
      <c r="C31" s="48"/>
      <c r="D31" s="151" t="s">
        <v>241</v>
      </c>
      <c r="E31" s="156">
        <f t="shared" si="9"/>
        <v>2941500</v>
      </c>
      <c r="F31" s="152">
        <f>G31+K31</f>
        <v>2941500</v>
      </c>
      <c r="G31" s="152"/>
      <c r="H31" s="152"/>
      <c r="I31" s="152"/>
      <c r="J31" s="152"/>
      <c r="K31" s="152">
        <f>2462300+479200</f>
        <v>2941500</v>
      </c>
      <c r="L31" s="152"/>
      <c r="M31" s="147">
        <f t="shared" si="10"/>
        <v>0</v>
      </c>
      <c r="N31" s="152"/>
      <c r="O31" s="152"/>
      <c r="P31" s="152"/>
      <c r="Q31" s="152"/>
      <c r="R31" s="152"/>
      <c r="S31" s="152"/>
      <c r="T31" s="152"/>
      <c r="U31" s="152"/>
      <c r="V31" s="156">
        <f t="shared" si="3"/>
        <v>2941500</v>
      </c>
    </row>
    <row r="32" spans="1:22" s="154" customFormat="1" ht="60.75" customHeight="1">
      <c r="A32" s="109"/>
      <c r="B32" s="121"/>
      <c r="C32" s="48"/>
      <c r="D32" s="151" t="s">
        <v>249</v>
      </c>
      <c r="E32" s="156">
        <f t="shared" si="9"/>
        <v>862408</v>
      </c>
      <c r="F32" s="152">
        <f>G32+K32</f>
        <v>862408</v>
      </c>
      <c r="G32" s="152">
        <f>554589+307819</f>
        <v>862408</v>
      </c>
      <c r="H32" s="152"/>
      <c r="I32" s="152"/>
      <c r="J32" s="152"/>
      <c r="K32" s="152"/>
      <c r="L32" s="152"/>
      <c r="M32" s="147">
        <f t="shared" si="10"/>
        <v>348583</v>
      </c>
      <c r="N32" s="152">
        <f>T32</f>
        <v>348583</v>
      </c>
      <c r="O32" s="152"/>
      <c r="P32" s="152"/>
      <c r="Q32" s="152"/>
      <c r="R32" s="152"/>
      <c r="S32" s="152"/>
      <c r="T32" s="152">
        <f>293822+54761</f>
        <v>348583</v>
      </c>
      <c r="U32" s="152">
        <f>293822+54761</f>
        <v>348583</v>
      </c>
      <c r="V32" s="156">
        <f t="shared" si="3"/>
        <v>1210991</v>
      </c>
    </row>
    <row r="33" spans="1:22" s="154" customFormat="1" ht="60.75" customHeight="1">
      <c r="A33" s="109"/>
      <c r="B33" s="121"/>
      <c r="C33" s="48"/>
      <c r="D33" s="151" t="s">
        <v>942</v>
      </c>
      <c r="E33" s="156"/>
      <c r="F33" s="152"/>
      <c r="G33" s="152"/>
      <c r="H33" s="152"/>
      <c r="I33" s="152"/>
      <c r="J33" s="152"/>
      <c r="K33" s="152"/>
      <c r="L33" s="152"/>
      <c r="M33" s="147">
        <f t="shared" si="10"/>
        <v>711760</v>
      </c>
      <c r="N33" s="152">
        <f>T33</f>
        <v>711760</v>
      </c>
      <c r="O33" s="152"/>
      <c r="P33" s="152"/>
      <c r="Q33" s="152"/>
      <c r="R33" s="152"/>
      <c r="S33" s="152"/>
      <c r="T33" s="152">
        <f>411760+300000</f>
        <v>711760</v>
      </c>
      <c r="U33" s="152">
        <f>411760+300000</f>
        <v>711760</v>
      </c>
      <c r="V33" s="156">
        <f t="shared" si="3"/>
        <v>711760</v>
      </c>
    </row>
    <row r="34" spans="1:22" s="154" customFormat="1" ht="60.75" customHeight="1">
      <c r="A34" s="109"/>
      <c r="B34" s="121"/>
      <c r="C34" s="48"/>
      <c r="D34" s="151" t="s">
        <v>941</v>
      </c>
      <c r="E34" s="156">
        <f t="shared" si="9"/>
        <v>4702632</v>
      </c>
      <c r="F34" s="152">
        <f>G34+K34</f>
        <v>4702632</v>
      </c>
      <c r="G34" s="152"/>
      <c r="H34" s="152"/>
      <c r="I34" s="152"/>
      <c r="J34" s="152"/>
      <c r="K34" s="152">
        <f>4652632+50000</f>
        <v>4702632</v>
      </c>
      <c r="L34" s="152"/>
      <c r="M34" s="147">
        <f t="shared" si="10"/>
        <v>805521</v>
      </c>
      <c r="N34" s="152">
        <f>T34</f>
        <v>805521</v>
      </c>
      <c r="O34" s="152"/>
      <c r="P34" s="152"/>
      <c r="Q34" s="152"/>
      <c r="R34" s="152"/>
      <c r="S34" s="152"/>
      <c r="T34" s="152">
        <f>680696+124825</f>
        <v>805521</v>
      </c>
      <c r="U34" s="152">
        <f>680696+124825</f>
        <v>805521</v>
      </c>
      <c r="V34" s="156">
        <f t="shared" si="3"/>
        <v>5508153</v>
      </c>
    </row>
    <row r="35" spans="1:22" s="154" customFormat="1" ht="15.75">
      <c r="A35" s="109"/>
      <c r="B35" s="121"/>
      <c r="C35" s="48"/>
      <c r="D35" s="151" t="s">
        <v>302</v>
      </c>
      <c r="E35" s="156">
        <f t="shared" si="9"/>
        <v>127757</v>
      </c>
      <c r="F35" s="152">
        <f>SUM(G35:K35)</f>
        <v>127757</v>
      </c>
      <c r="G35" s="152"/>
      <c r="H35" s="152"/>
      <c r="I35" s="152"/>
      <c r="J35" s="152"/>
      <c r="K35" s="152">
        <v>127757</v>
      </c>
      <c r="L35" s="152"/>
      <c r="M35" s="169"/>
      <c r="N35" s="152"/>
      <c r="O35" s="152"/>
      <c r="P35" s="152"/>
      <c r="Q35" s="152"/>
      <c r="R35" s="152"/>
      <c r="S35" s="152"/>
      <c r="T35" s="152"/>
      <c r="U35" s="152"/>
      <c r="V35" s="156">
        <f t="shared" si="3"/>
        <v>127757</v>
      </c>
    </row>
    <row r="36" spans="1:22" s="154" customFormat="1" ht="69" hidden="1">
      <c r="A36" s="44" t="s">
        <v>616</v>
      </c>
      <c r="B36" s="121"/>
      <c r="C36" s="109" t="s">
        <v>891</v>
      </c>
      <c r="D36" s="46" t="s">
        <v>617</v>
      </c>
      <c r="E36" s="147">
        <f>F36+L36</f>
        <v>0</v>
      </c>
      <c r="F36" s="149">
        <f>G36+H36+I36+J36+K36</f>
        <v>0</v>
      </c>
      <c r="G36" s="152"/>
      <c r="H36" s="152"/>
      <c r="I36" s="152"/>
      <c r="J36" s="152"/>
      <c r="K36" s="149"/>
      <c r="L36" s="152"/>
      <c r="M36" s="169">
        <f aca="true" t="shared" si="11" ref="M36:M48">O36+T36</f>
        <v>0</v>
      </c>
      <c r="N36" s="152"/>
      <c r="O36" s="152"/>
      <c r="P36" s="152"/>
      <c r="Q36" s="152"/>
      <c r="R36" s="152"/>
      <c r="S36" s="152"/>
      <c r="T36" s="152"/>
      <c r="U36" s="152"/>
      <c r="V36" s="156">
        <f t="shared" si="3"/>
        <v>0</v>
      </c>
    </row>
    <row r="37" spans="1:22" ht="48.75" customHeight="1">
      <c r="A37" s="44" t="s">
        <v>781</v>
      </c>
      <c r="B37" s="101">
        <v>1090</v>
      </c>
      <c r="C37" s="109" t="s">
        <v>854</v>
      </c>
      <c r="D37" s="163" t="s">
        <v>187</v>
      </c>
      <c r="E37" s="147">
        <f>F37</f>
        <v>29938904</v>
      </c>
      <c r="F37" s="149">
        <f>SUM(G37:K37)</f>
        <v>29938904</v>
      </c>
      <c r="G37" s="149">
        <v>26712604</v>
      </c>
      <c r="H37" s="149"/>
      <c r="I37" s="149"/>
      <c r="J37" s="149">
        <f>2560080-281300</f>
        <v>2278780</v>
      </c>
      <c r="K37" s="149">
        <f>919020+28500</f>
        <v>947520</v>
      </c>
      <c r="L37" s="149"/>
      <c r="M37" s="147">
        <f t="shared" si="11"/>
        <v>1764880</v>
      </c>
      <c r="N37" s="149">
        <f>208000+500000</f>
        <v>708000</v>
      </c>
      <c r="O37" s="149">
        <f>1003880</f>
        <v>1003880</v>
      </c>
      <c r="P37" s="149">
        <v>584380</v>
      </c>
      <c r="Q37" s="149"/>
      <c r="R37" s="149"/>
      <c r="S37" s="149">
        <v>46100</v>
      </c>
      <c r="T37" s="149">
        <f>53000+208000+500000</f>
        <v>761000</v>
      </c>
      <c r="U37" s="99">
        <v>500000</v>
      </c>
      <c r="V37" s="147">
        <f aca="true" t="shared" si="12" ref="V37:V70">M37+E37</f>
        <v>31703784</v>
      </c>
    </row>
    <row r="38" spans="1:22" ht="48.75" customHeight="1">
      <c r="A38" s="44"/>
      <c r="B38" s="101"/>
      <c r="C38" s="109"/>
      <c r="D38" s="151" t="s">
        <v>942</v>
      </c>
      <c r="E38" s="147"/>
      <c r="F38" s="149"/>
      <c r="G38" s="149"/>
      <c r="H38" s="149"/>
      <c r="I38" s="149"/>
      <c r="J38" s="149"/>
      <c r="K38" s="149"/>
      <c r="L38" s="149"/>
      <c r="M38" s="156">
        <f t="shared" si="11"/>
        <v>250000</v>
      </c>
      <c r="N38" s="152">
        <f>T38</f>
        <v>250000</v>
      </c>
      <c r="O38" s="152"/>
      <c r="P38" s="152"/>
      <c r="Q38" s="152"/>
      <c r="R38" s="152"/>
      <c r="S38" s="152"/>
      <c r="T38" s="152">
        <v>250000</v>
      </c>
      <c r="U38" s="162">
        <v>250000</v>
      </c>
      <c r="V38" s="156">
        <f t="shared" si="12"/>
        <v>250000</v>
      </c>
    </row>
    <row r="39" spans="1:22" ht="42" customHeight="1">
      <c r="A39" s="44" t="s">
        <v>780</v>
      </c>
      <c r="B39" s="101">
        <v>1100</v>
      </c>
      <c r="C39" s="109" t="s">
        <v>454</v>
      </c>
      <c r="D39" s="148" t="s">
        <v>188</v>
      </c>
      <c r="E39" s="147">
        <f>F39+L39</f>
        <v>65801541</v>
      </c>
      <c r="F39" s="149">
        <f>G39+H39+I39+J39+K39</f>
        <v>65801541</v>
      </c>
      <c r="G39" s="149">
        <f>60957100+2000000+500000</f>
        <v>63457100</v>
      </c>
      <c r="H39" s="149"/>
      <c r="I39" s="149"/>
      <c r="J39" s="149">
        <f>1757397-149000</f>
        <v>1608397</v>
      </c>
      <c r="K39" s="149">
        <f>475039+200000+16994+44011</f>
        <v>736044</v>
      </c>
      <c r="L39" s="150"/>
      <c r="M39" s="147">
        <f t="shared" si="11"/>
        <v>5258965</v>
      </c>
      <c r="N39" s="99">
        <f>1000000</f>
        <v>1000000</v>
      </c>
      <c r="O39" s="149">
        <v>3996665</v>
      </c>
      <c r="P39" s="149">
        <v>2757658</v>
      </c>
      <c r="Q39" s="149"/>
      <c r="R39" s="149"/>
      <c r="S39" s="149">
        <v>40617</v>
      </c>
      <c r="T39" s="99">
        <f>262300+1000000</f>
        <v>1262300</v>
      </c>
      <c r="U39" s="149"/>
      <c r="V39" s="147">
        <f t="shared" si="12"/>
        <v>71060506</v>
      </c>
    </row>
    <row r="40" spans="1:22" ht="47.25" customHeight="1">
      <c r="A40" s="44" t="s">
        <v>792</v>
      </c>
      <c r="B40" s="298">
        <v>1110</v>
      </c>
      <c r="C40" s="165" t="s">
        <v>455</v>
      </c>
      <c r="D40" s="209" t="s">
        <v>189</v>
      </c>
      <c r="E40" s="147">
        <f aca="true" t="shared" si="13" ref="E40:E48">F40</f>
        <v>91872865.38</v>
      </c>
      <c r="F40" s="149">
        <f>SUM(G40:K40)</f>
        <v>91872865.38</v>
      </c>
      <c r="G40" s="149">
        <f>62379776</f>
        <v>62379776</v>
      </c>
      <c r="H40" s="149">
        <v>47382</v>
      </c>
      <c r="I40" s="149">
        <v>2142048</v>
      </c>
      <c r="J40" s="149">
        <f>11503110-713800</f>
        <v>10789310</v>
      </c>
      <c r="K40" s="149">
        <f>14244916+2000000+126492.9+142940.48</f>
        <v>16514349.38</v>
      </c>
      <c r="L40" s="149"/>
      <c r="M40" s="147">
        <f t="shared" si="11"/>
        <v>12839907</v>
      </c>
      <c r="N40" s="149">
        <v>11016</v>
      </c>
      <c r="O40" s="149">
        <v>12693891</v>
      </c>
      <c r="P40" s="149">
        <v>4165480</v>
      </c>
      <c r="Q40" s="149">
        <v>34150</v>
      </c>
      <c r="R40" s="149">
        <v>1445760</v>
      </c>
      <c r="S40" s="149">
        <v>5103703</v>
      </c>
      <c r="T40" s="149">
        <f>135000+11016</f>
        <v>146016</v>
      </c>
      <c r="U40" s="99">
        <v>11016</v>
      </c>
      <c r="V40" s="147">
        <f t="shared" si="12"/>
        <v>104712772.38</v>
      </c>
    </row>
    <row r="41" spans="1:22" s="154" customFormat="1" ht="27">
      <c r="A41" s="48"/>
      <c r="B41" s="121"/>
      <c r="C41" s="210"/>
      <c r="D41" s="151" t="s">
        <v>528</v>
      </c>
      <c r="E41" s="156">
        <f t="shared" si="13"/>
        <v>8873804</v>
      </c>
      <c r="F41" s="152">
        <f aca="true" t="shared" si="14" ref="F41:F48">SUM(G41:K41)</f>
        <v>8873804</v>
      </c>
      <c r="G41" s="152">
        <v>8873804</v>
      </c>
      <c r="H41" s="152"/>
      <c r="I41" s="152"/>
      <c r="J41" s="152"/>
      <c r="K41" s="152"/>
      <c r="L41" s="152"/>
      <c r="M41" s="147">
        <f t="shared" si="11"/>
        <v>0</v>
      </c>
      <c r="N41" s="152"/>
      <c r="O41" s="152"/>
      <c r="P41" s="152"/>
      <c r="Q41" s="152"/>
      <c r="R41" s="152"/>
      <c r="S41" s="152"/>
      <c r="T41" s="152"/>
      <c r="U41" s="162"/>
      <c r="V41" s="156">
        <f t="shared" si="12"/>
        <v>8873804</v>
      </c>
    </row>
    <row r="42" spans="1:22" ht="33.75" customHeight="1">
      <c r="A42" s="44" t="s">
        <v>793</v>
      </c>
      <c r="B42" s="101">
        <v>1150</v>
      </c>
      <c r="C42" s="109" t="s">
        <v>912</v>
      </c>
      <c r="D42" s="46" t="s">
        <v>190</v>
      </c>
      <c r="E42" s="147">
        <f>F42</f>
        <v>5489617</v>
      </c>
      <c r="F42" s="149">
        <f>SUM(G42:K42)</f>
        <v>5489617</v>
      </c>
      <c r="G42" s="149">
        <v>3662133</v>
      </c>
      <c r="H42" s="149"/>
      <c r="I42" s="149">
        <v>43566</v>
      </c>
      <c r="J42" s="149"/>
      <c r="K42" s="149">
        <f>883918+600000+300000</f>
        <v>1783918</v>
      </c>
      <c r="L42" s="149"/>
      <c r="M42" s="147">
        <f t="shared" si="11"/>
        <v>0</v>
      </c>
      <c r="N42" s="149"/>
      <c r="O42" s="149"/>
      <c r="P42" s="149"/>
      <c r="Q42" s="149"/>
      <c r="R42" s="149"/>
      <c r="S42" s="149"/>
      <c r="T42" s="149"/>
      <c r="U42" s="149"/>
      <c r="V42" s="147">
        <f t="shared" si="12"/>
        <v>5489617</v>
      </c>
    </row>
    <row r="43" spans="1:22" ht="15" hidden="1">
      <c r="A43" s="44" t="s">
        <v>779</v>
      </c>
      <c r="B43" s="101">
        <v>1160</v>
      </c>
      <c r="C43" s="109"/>
      <c r="D43" s="46" t="s">
        <v>794</v>
      </c>
      <c r="E43" s="147">
        <f t="shared" si="13"/>
        <v>21697601</v>
      </c>
      <c r="F43" s="149">
        <f aca="true" t="shared" si="15" ref="F43:K43">F44+F46</f>
        <v>21697601</v>
      </c>
      <c r="G43" s="149">
        <f t="shared" si="15"/>
        <v>15058661</v>
      </c>
      <c r="H43" s="149">
        <f t="shared" si="15"/>
        <v>0</v>
      </c>
      <c r="I43" s="149">
        <f t="shared" si="15"/>
        <v>0</v>
      </c>
      <c r="J43" s="149">
        <f t="shared" si="15"/>
        <v>816422</v>
      </c>
      <c r="K43" s="149">
        <f t="shared" si="15"/>
        <v>5822518</v>
      </c>
      <c r="L43" s="149"/>
      <c r="M43" s="147">
        <f t="shared" si="11"/>
        <v>8553000</v>
      </c>
      <c r="N43" s="149">
        <f aca="true" t="shared" si="16" ref="N43:U43">N44+N46</f>
        <v>8500000</v>
      </c>
      <c r="O43" s="149">
        <f t="shared" si="16"/>
        <v>53000</v>
      </c>
      <c r="P43" s="149">
        <f t="shared" si="16"/>
        <v>0</v>
      </c>
      <c r="Q43" s="149">
        <f t="shared" si="16"/>
        <v>0</v>
      </c>
      <c r="R43" s="149">
        <f t="shared" si="16"/>
        <v>0</v>
      </c>
      <c r="S43" s="149">
        <f t="shared" si="16"/>
        <v>53000</v>
      </c>
      <c r="T43" s="149">
        <f t="shared" si="16"/>
        <v>8500000</v>
      </c>
      <c r="U43" s="149">
        <f t="shared" si="16"/>
        <v>7500000</v>
      </c>
      <c r="V43" s="147">
        <f t="shared" si="12"/>
        <v>30250601</v>
      </c>
    </row>
    <row r="44" spans="1:22" ht="36" customHeight="1">
      <c r="A44" s="44" t="s">
        <v>738</v>
      </c>
      <c r="B44" s="101">
        <v>1161</v>
      </c>
      <c r="C44" s="109" t="s">
        <v>346</v>
      </c>
      <c r="D44" s="46" t="s">
        <v>740</v>
      </c>
      <c r="E44" s="147">
        <f t="shared" si="13"/>
        <v>17670243</v>
      </c>
      <c r="F44" s="149">
        <f t="shared" si="14"/>
        <v>17670243</v>
      </c>
      <c r="G44" s="149">
        <f>14938891</f>
        <v>14938891</v>
      </c>
      <c r="H44" s="149"/>
      <c r="I44" s="149"/>
      <c r="J44" s="149">
        <v>816422</v>
      </c>
      <c r="K44" s="149">
        <f>1314930+600000</f>
        <v>1914930</v>
      </c>
      <c r="L44" s="149"/>
      <c r="M44" s="147">
        <f t="shared" si="11"/>
        <v>8553000</v>
      </c>
      <c r="N44" s="149">
        <f>T44</f>
        <v>8500000</v>
      </c>
      <c r="O44" s="149">
        <v>53000</v>
      </c>
      <c r="P44" s="149"/>
      <c r="Q44" s="149"/>
      <c r="R44" s="149"/>
      <c r="S44" s="149">
        <v>53000</v>
      </c>
      <c r="T44" s="149">
        <f>1000000+7500000</f>
        <v>8500000</v>
      </c>
      <c r="U44" s="149">
        <v>7500000</v>
      </c>
      <c r="V44" s="147">
        <f t="shared" si="12"/>
        <v>26223243</v>
      </c>
    </row>
    <row r="45" spans="1:22" s="154" customFormat="1" ht="15.75" hidden="1">
      <c r="A45" s="47"/>
      <c r="B45" s="121"/>
      <c r="C45" s="48"/>
      <c r="D45" s="151" t="s">
        <v>601</v>
      </c>
      <c r="E45" s="156">
        <f t="shared" si="13"/>
        <v>0</v>
      </c>
      <c r="F45" s="152">
        <f>SUM(G45:K45)</f>
        <v>0</v>
      </c>
      <c r="G45" s="152"/>
      <c r="H45" s="152"/>
      <c r="I45" s="152"/>
      <c r="J45" s="152"/>
      <c r="K45" s="152"/>
      <c r="L45" s="152"/>
      <c r="M45" s="147">
        <f t="shared" si="11"/>
        <v>0</v>
      </c>
      <c r="N45" s="152"/>
      <c r="O45" s="152"/>
      <c r="P45" s="152"/>
      <c r="Q45" s="152"/>
      <c r="R45" s="152"/>
      <c r="S45" s="152"/>
      <c r="T45" s="152"/>
      <c r="U45" s="152"/>
      <c r="V45" s="156">
        <f t="shared" si="12"/>
        <v>0</v>
      </c>
    </row>
    <row r="46" spans="1:22" ht="15">
      <c r="A46" s="44" t="s">
        <v>739</v>
      </c>
      <c r="B46" s="101">
        <v>1162</v>
      </c>
      <c r="C46" s="109" t="s">
        <v>346</v>
      </c>
      <c r="D46" s="46" t="s">
        <v>741</v>
      </c>
      <c r="E46" s="147">
        <f t="shared" si="13"/>
        <v>4027358</v>
      </c>
      <c r="F46" s="149">
        <f t="shared" si="14"/>
        <v>4027358</v>
      </c>
      <c r="G46" s="149">
        <f>69165+50605</f>
        <v>119770</v>
      </c>
      <c r="H46" s="149"/>
      <c r="I46" s="149"/>
      <c r="J46" s="149"/>
      <c r="K46" s="149">
        <f>1375562+2532026</f>
        <v>3907588</v>
      </c>
      <c r="L46" s="149"/>
      <c r="M46" s="147">
        <f t="shared" si="11"/>
        <v>0</v>
      </c>
      <c r="N46" s="149"/>
      <c r="O46" s="149"/>
      <c r="P46" s="149"/>
      <c r="Q46" s="149"/>
      <c r="R46" s="149"/>
      <c r="S46" s="149"/>
      <c r="T46" s="149"/>
      <c r="U46" s="149"/>
      <c r="V46" s="147">
        <f t="shared" si="12"/>
        <v>4027358</v>
      </c>
    </row>
    <row r="47" spans="1:22" ht="32.25" customHeight="1">
      <c r="A47" s="44" t="s">
        <v>16</v>
      </c>
      <c r="B47" s="101">
        <v>1170</v>
      </c>
      <c r="C47" s="109" t="s">
        <v>346</v>
      </c>
      <c r="D47" s="46" t="s">
        <v>17</v>
      </c>
      <c r="E47" s="147">
        <f t="shared" si="13"/>
        <v>1227740</v>
      </c>
      <c r="F47" s="149">
        <f t="shared" si="14"/>
        <v>1227740</v>
      </c>
      <c r="G47" s="149">
        <f>109000+938740</f>
        <v>1047740</v>
      </c>
      <c r="H47" s="149"/>
      <c r="I47" s="149"/>
      <c r="J47" s="149"/>
      <c r="K47" s="149">
        <f>100000+80000</f>
        <v>180000</v>
      </c>
      <c r="L47" s="149"/>
      <c r="M47" s="147">
        <f t="shared" si="11"/>
        <v>0</v>
      </c>
      <c r="N47" s="149">
        <f>T47</f>
        <v>0</v>
      </c>
      <c r="O47" s="149"/>
      <c r="P47" s="149"/>
      <c r="Q47" s="149"/>
      <c r="R47" s="149"/>
      <c r="S47" s="149"/>
      <c r="T47" s="149"/>
      <c r="U47" s="149"/>
      <c r="V47" s="147">
        <f t="shared" si="12"/>
        <v>1227740</v>
      </c>
    </row>
    <row r="48" spans="1:22" ht="54" customHeight="1">
      <c r="A48" s="44"/>
      <c r="B48" s="101"/>
      <c r="C48" s="109"/>
      <c r="D48" s="151" t="s">
        <v>241</v>
      </c>
      <c r="E48" s="156">
        <f t="shared" si="13"/>
        <v>938740</v>
      </c>
      <c r="F48" s="152">
        <f t="shared" si="14"/>
        <v>938740</v>
      </c>
      <c r="G48" s="152">
        <v>938740</v>
      </c>
      <c r="H48" s="152"/>
      <c r="I48" s="152"/>
      <c r="J48" s="152"/>
      <c r="K48" s="152"/>
      <c r="L48" s="152"/>
      <c r="M48" s="156">
        <f t="shared" si="11"/>
        <v>0</v>
      </c>
      <c r="N48" s="152">
        <f>T48</f>
        <v>0</v>
      </c>
      <c r="O48" s="152"/>
      <c r="P48" s="152"/>
      <c r="Q48" s="152"/>
      <c r="R48" s="152"/>
      <c r="S48" s="152"/>
      <c r="T48" s="152"/>
      <c r="U48" s="152"/>
      <c r="V48" s="156">
        <f t="shared" si="12"/>
        <v>938740</v>
      </c>
    </row>
    <row r="49" spans="1:22" ht="30" customHeight="1">
      <c r="A49" s="44" t="s">
        <v>778</v>
      </c>
      <c r="B49" s="101">
        <v>3000</v>
      </c>
      <c r="C49" s="44"/>
      <c r="D49" s="213" t="s">
        <v>527</v>
      </c>
      <c r="E49" s="147">
        <f>E50+E54+E52+E53</f>
        <v>5329036</v>
      </c>
      <c r="F49" s="147">
        <f>F50+F54+F52+F53</f>
        <v>5329036</v>
      </c>
      <c r="G49" s="147">
        <f aca="true" t="shared" si="17" ref="G49:U49">G50+G54+G52+G53</f>
        <v>0</v>
      </c>
      <c r="H49" s="147">
        <f t="shared" si="17"/>
        <v>0</v>
      </c>
      <c r="I49" s="147">
        <f t="shared" si="17"/>
        <v>445199</v>
      </c>
      <c r="J49" s="147">
        <f t="shared" si="17"/>
        <v>0</v>
      </c>
      <c r="K49" s="147">
        <f t="shared" si="17"/>
        <v>4883837</v>
      </c>
      <c r="L49" s="147">
        <f t="shared" si="17"/>
        <v>0</v>
      </c>
      <c r="M49" s="147">
        <f t="shared" si="17"/>
        <v>0</v>
      </c>
      <c r="N49" s="147">
        <f>N50+N54+N52+N53</f>
        <v>0</v>
      </c>
      <c r="O49" s="147">
        <f t="shared" si="17"/>
        <v>0</v>
      </c>
      <c r="P49" s="147">
        <f t="shared" si="17"/>
        <v>0</v>
      </c>
      <c r="Q49" s="147">
        <f t="shared" si="17"/>
        <v>0</v>
      </c>
      <c r="R49" s="147">
        <f t="shared" si="17"/>
        <v>0</v>
      </c>
      <c r="S49" s="147">
        <f t="shared" si="17"/>
        <v>0</v>
      </c>
      <c r="T49" s="147">
        <f t="shared" si="17"/>
        <v>0</v>
      </c>
      <c r="U49" s="147">
        <f t="shared" si="17"/>
        <v>0</v>
      </c>
      <c r="V49" s="147">
        <f t="shared" si="12"/>
        <v>5329036</v>
      </c>
    </row>
    <row r="50" spans="1:22" ht="33" customHeight="1" hidden="1">
      <c r="A50" s="44" t="s">
        <v>777</v>
      </c>
      <c r="B50" s="298">
        <v>3130</v>
      </c>
      <c r="C50" s="165"/>
      <c r="D50" s="207" t="s">
        <v>107</v>
      </c>
      <c r="E50" s="147">
        <f aca="true" t="shared" si="18" ref="E50:E56">F50+L50</f>
        <v>4813247</v>
      </c>
      <c r="F50" s="149">
        <f aca="true" t="shared" si="19" ref="F50:F56">SUM(G50:K50)</f>
        <v>4813247</v>
      </c>
      <c r="G50" s="166">
        <f aca="true" t="shared" si="20" ref="G50:L50">G51</f>
        <v>0</v>
      </c>
      <c r="H50" s="166">
        <f t="shared" si="20"/>
        <v>0</v>
      </c>
      <c r="I50" s="166">
        <f t="shared" si="20"/>
        <v>0</v>
      </c>
      <c r="J50" s="166">
        <f t="shared" si="20"/>
        <v>0</v>
      </c>
      <c r="K50" s="166">
        <f t="shared" si="20"/>
        <v>4813247</v>
      </c>
      <c r="L50" s="166">
        <f t="shared" si="20"/>
        <v>0</v>
      </c>
      <c r="M50" s="147"/>
      <c r="N50" s="149"/>
      <c r="O50" s="149"/>
      <c r="P50" s="149"/>
      <c r="Q50" s="149"/>
      <c r="R50" s="149"/>
      <c r="S50" s="149"/>
      <c r="T50" s="149"/>
      <c r="U50" s="149"/>
      <c r="V50" s="147">
        <f t="shared" si="12"/>
        <v>4813247</v>
      </c>
    </row>
    <row r="51" spans="1:22" ht="15">
      <c r="A51" s="44" t="s">
        <v>378</v>
      </c>
      <c r="B51" s="298">
        <v>3133</v>
      </c>
      <c r="C51" s="165" t="s">
        <v>719</v>
      </c>
      <c r="D51" s="284" t="s">
        <v>853</v>
      </c>
      <c r="E51" s="147">
        <f t="shared" si="18"/>
        <v>4813247</v>
      </c>
      <c r="F51" s="149">
        <f t="shared" si="19"/>
        <v>4813247</v>
      </c>
      <c r="G51" s="167"/>
      <c r="H51" s="167"/>
      <c r="I51" s="167"/>
      <c r="J51" s="167"/>
      <c r="K51" s="167">
        <f>850187+4563060-600000</f>
        <v>4813247</v>
      </c>
      <c r="L51" s="166"/>
      <c r="M51" s="147"/>
      <c r="N51" s="149"/>
      <c r="O51" s="149"/>
      <c r="P51" s="149"/>
      <c r="Q51" s="149"/>
      <c r="R51" s="149"/>
      <c r="S51" s="149"/>
      <c r="T51" s="149"/>
      <c r="U51" s="149"/>
      <c r="V51" s="147">
        <f t="shared" si="12"/>
        <v>4813247</v>
      </c>
    </row>
    <row r="52" spans="1:22" ht="73.5" customHeight="1">
      <c r="A52" s="44" t="s">
        <v>776</v>
      </c>
      <c r="B52" s="101">
        <v>3140</v>
      </c>
      <c r="C52" s="109" t="s">
        <v>719</v>
      </c>
      <c r="D52" s="46" t="s">
        <v>873</v>
      </c>
      <c r="E52" s="147">
        <f t="shared" si="18"/>
        <v>445199</v>
      </c>
      <c r="F52" s="149">
        <f t="shared" si="19"/>
        <v>445199</v>
      </c>
      <c r="G52" s="149"/>
      <c r="H52" s="149"/>
      <c r="I52" s="149">
        <v>445199</v>
      </c>
      <c r="J52" s="149"/>
      <c r="K52" s="149"/>
      <c r="L52" s="149"/>
      <c r="M52" s="147"/>
      <c r="N52" s="149"/>
      <c r="O52" s="149"/>
      <c r="P52" s="149"/>
      <c r="Q52" s="149"/>
      <c r="R52" s="149"/>
      <c r="S52" s="149"/>
      <c r="T52" s="149"/>
      <c r="U52" s="149"/>
      <c r="V52" s="147">
        <f t="shared" si="12"/>
        <v>445199</v>
      </c>
    </row>
    <row r="53" spans="1:22" ht="191.25" customHeight="1">
      <c r="A53" s="44" t="s">
        <v>319</v>
      </c>
      <c r="B53" s="101">
        <v>3230</v>
      </c>
      <c r="C53" s="109" t="s">
        <v>719</v>
      </c>
      <c r="D53" s="263" t="s">
        <v>692</v>
      </c>
      <c r="E53" s="147">
        <f t="shared" si="18"/>
        <v>70590</v>
      </c>
      <c r="F53" s="149">
        <f t="shared" si="19"/>
        <v>70590</v>
      </c>
      <c r="G53" s="149"/>
      <c r="H53" s="149"/>
      <c r="I53" s="149"/>
      <c r="J53" s="149"/>
      <c r="K53" s="149">
        <v>70590</v>
      </c>
      <c r="L53" s="149"/>
      <c r="M53" s="147"/>
      <c r="N53" s="149"/>
      <c r="O53" s="149"/>
      <c r="P53" s="149"/>
      <c r="Q53" s="149"/>
      <c r="R53" s="149"/>
      <c r="S53" s="149"/>
      <c r="T53" s="149"/>
      <c r="U53" s="149"/>
      <c r="V53" s="147">
        <f t="shared" si="12"/>
        <v>70590</v>
      </c>
    </row>
    <row r="54" spans="1:22" ht="12.75" customHeight="1" hidden="1">
      <c r="A54" s="44" t="s">
        <v>728</v>
      </c>
      <c r="B54" s="101">
        <v>3240</v>
      </c>
      <c r="C54" s="109"/>
      <c r="D54" s="148" t="s">
        <v>379</v>
      </c>
      <c r="E54" s="147">
        <f t="shared" si="18"/>
        <v>0</v>
      </c>
      <c r="F54" s="149">
        <f t="shared" si="19"/>
        <v>0</v>
      </c>
      <c r="G54" s="166">
        <f>G55+G56</f>
        <v>0</v>
      </c>
      <c r="H54" s="166">
        <f>H55+H56</f>
        <v>0</v>
      </c>
      <c r="I54" s="166">
        <f>I55+I56</f>
        <v>0</v>
      </c>
      <c r="J54" s="166">
        <f>J55+J56</f>
        <v>0</v>
      </c>
      <c r="K54" s="166">
        <f>K55+K56</f>
        <v>0</v>
      </c>
      <c r="L54" s="166"/>
      <c r="M54" s="147">
        <f>O54+T54</f>
        <v>0</v>
      </c>
      <c r="N54" s="166">
        <f>N55+N56</f>
        <v>0</v>
      </c>
      <c r="O54" s="166">
        <f aca="true" t="shared" si="21" ref="O54:U54">O55+O56</f>
        <v>0</v>
      </c>
      <c r="P54" s="166">
        <f t="shared" si="21"/>
        <v>0</v>
      </c>
      <c r="Q54" s="166">
        <f t="shared" si="21"/>
        <v>0</v>
      </c>
      <c r="R54" s="166">
        <f t="shared" si="21"/>
        <v>0</v>
      </c>
      <c r="S54" s="166">
        <f t="shared" si="21"/>
        <v>0</v>
      </c>
      <c r="T54" s="166">
        <f t="shared" si="21"/>
        <v>0</v>
      </c>
      <c r="U54" s="166">
        <f t="shared" si="21"/>
        <v>0</v>
      </c>
      <c r="V54" s="147">
        <f t="shared" si="12"/>
        <v>0</v>
      </c>
    </row>
    <row r="55" spans="1:22" ht="42" customHeight="1" hidden="1">
      <c r="A55" s="44" t="s">
        <v>729</v>
      </c>
      <c r="B55" s="101">
        <v>3241</v>
      </c>
      <c r="C55" s="109" t="s">
        <v>824</v>
      </c>
      <c r="D55" s="148" t="s">
        <v>731</v>
      </c>
      <c r="E55" s="147">
        <f t="shared" si="18"/>
        <v>0</v>
      </c>
      <c r="F55" s="149">
        <f t="shared" si="19"/>
        <v>0</v>
      </c>
      <c r="G55" s="166"/>
      <c r="H55" s="166"/>
      <c r="I55" s="166"/>
      <c r="J55" s="166"/>
      <c r="K55" s="166"/>
      <c r="L55" s="166"/>
      <c r="M55" s="147">
        <f>O55+T55</f>
        <v>0</v>
      </c>
      <c r="N55" s="149"/>
      <c r="O55" s="149"/>
      <c r="P55" s="149"/>
      <c r="Q55" s="149"/>
      <c r="R55" s="149"/>
      <c r="S55" s="149"/>
      <c r="T55" s="149"/>
      <c r="U55" s="149"/>
      <c r="V55" s="147">
        <f t="shared" si="12"/>
        <v>0</v>
      </c>
    </row>
    <row r="56" spans="1:22" ht="27" hidden="1">
      <c r="A56" s="44" t="s">
        <v>730</v>
      </c>
      <c r="B56" s="101">
        <v>3242</v>
      </c>
      <c r="C56" s="109" t="s">
        <v>824</v>
      </c>
      <c r="D56" s="148" t="s">
        <v>75</v>
      </c>
      <c r="E56" s="147">
        <f t="shared" si="18"/>
        <v>0</v>
      </c>
      <c r="F56" s="149">
        <f t="shared" si="19"/>
        <v>0</v>
      </c>
      <c r="G56" s="166"/>
      <c r="H56" s="166"/>
      <c r="I56" s="166"/>
      <c r="J56" s="166"/>
      <c r="K56" s="166"/>
      <c r="L56" s="166"/>
      <c r="M56" s="147">
        <f>O56+T56</f>
        <v>0</v>
      </c>
      <c r="N56" s="149"/>
      <c r="O56" s="149"/>
      <c r="P56" s="149"/>
      <c r="Q56" s="149"/>
      <c r="R56" s="149"/>
      <c r="S56" s="149"/>
      <c r="T56" s="149"/>
      <c r="U56" s="149"/>
      <c r="V56" s="147">
        <f t="shared" si="12"/>
        <v>0</v>
      </c>
    </row>
    <row r="57" spans="1:22" ht="16.5" customHeight="1">
      <c r="A57" s="44" t="s">
        <v>775</v>
      </c>
      <c r="B57" s="101">
        <v>4000</v>
      </c>
      <c r="C57" s="44"/>
      <c r="D57" s="161" t="s">
        <v>524</v>
      </c>
      <c r="E57" s="147">
        <f aca="true" t="shared" si="22" ref="E57:L57">E58+E59+E60+E61</f>
        <v>39280103</v>
      </c>
      <c r="F57" s="147">
        <f>F58+F59+F60+F61</f>
        <v>39280103</v>
      </c>
      <c r="G57" s="147">
        <f>G58+G59+G60+G61</f>
        <v>18112449</v>
      </c>
      <c r="H57" s="147">
        <f t="shared" si="22"/>
        <v>0</v>
      </c>
      <c r="I57" s="147">
        <f t="shared" si="22"/>
        <v>0</v>
      </c>
      <c r="J57" s="147">
        <f t="shared" si="22"/>
        <v>2201488</v>
      </c>
      <c r="K57" s="147">
        <f>K58+K59+K60+K61</f>
        <v>18966166</v>
      </c>
      <c r="L57" s="147">
        <f t="shared" si="22"/>
        <v>0</v>
      </c>
      <c r="M57" s="147">
        <f>M58+M59+M60+M61+M63</f>
        <v>2934122</v>
      </c>
      <c r="N57" s="147">
        <f>N58+N59+N60+N61</f>
        <v>2708000</v>
      </c>
      <c r="O57" s="147">
        <f aca="true" t="shared" si="23" ref="O57:U57">O58+O59+O60+O61</f>
        <v>226122</v>
      </c>
      <c r="P57" s="147">
        <f t="shared" si="23"/>
        <v>27058</v>
      </c>
      <c r="Q57" s="147">
        <f t="shared" si="23"/>
        <v>0</v>
      </c>
      <c r="R57" s="147">
        <f t="shared" si="23"/>
        <v>0</v>
      </c>
      <c r="S57" s="147">
        <f t="shared" si="23"/>
        <v>32386</v>
      </c>
      <c r="T57" s="147">
        <f>T58+T59+T60+T61+T62+T63</f>
        <v>2708000</v>
      </c>
      <c r="U57" s="147">
        <f t="shared" si="23"/>
        <v>0</v>
      </c>
      <c r="V57" s="147">
        <f>M57+E57</f>
        <v>42214225</v>
      </c>
    </row>
    <row r="58" spans="1:22" ht="17.25" customHeight="1">
      <c r="A58" s="44" t="s">
        <v>424</v>
      </c>
      <c r="B58" s="101">
        <v>4030</v>
      </c>
      <c r="C58" s="109" t="s">
        <v>720</v>
      </c>
      <c r="D58" s="148" t="s">
        <v>421</v>
      </c>
      <c r="E58" s="147">
        <f aca="true" t="shared" si="24" ref="E58:E63">F58+L58</f>
        <v>13996943</v>
      </c>
      <c r="F58" s="149">
        <f aca="true" t="shared" si="25" ref="F58:F63">SUM(G58:K58)</f>
        <v>13996943</v>
      </c>
      <c r="G58" s="149">
        <v>11107979</v>
      </c>
      <c r="H58" s="149"/>
      <c r="I58" s="149"/>
      <c r="J58" s="149">
        <v>1108208</v>
      </c>
      <c r="K58" s="149">
        <f>280756+1500000</f>
        <v>1780756</v>
      </c>
      <c r="L58" s="150"/>
      <c r="M58" s="147">
        <f>O58+T58</f>
        <v>406000</v>
      </c>
      <c r="N58" s="149">
        <v>400000</v>
      </c>
      <c r="O58" s="149">
        <v>6000</v>
      </c>
      <c r="P58" s="149"/>
      <c r="Q58" s="149"/>
      <c r="R58" s="149"/>
      <c r="S58" s="149"/>
      <c r="T58" s="149">
        <v>400000</v>
      </c>
      <c r="U58" s="149"/>
      <c r="V58" s="147">
        <f t="shared" si="12"/>
        <v>14402943</v>
      </c>
    </row>
    <row r="59" spans="1:22" ht="15">
      <c r="A59" s="44" t="s">
        <v>423</v>
      </c>
      <c r="B59" s="101">
        <v>4040</v>
      </c>
      <c r="C59" s="136" t="s">
        <v>720</v>
      </c>
      <c r="D59" s="168" t="s">
        <v>422</v>
      </c>
      <c r="E59" s="147">
        <f t="shared" si="24"/>
        <v>906458</v>
      </c>
      <c r="F59" s="149">
        <f t="shared" si="25"/>
        <v>906458</v>
      </c>
      <c r="G59" s="149">
        <f>613660+70000</f>
        <v>683660</v>
      </c>
      <c r="H59" s="149"/>
      <c r="I59" s="149"/>
      <c r="J59" s="149">
        <v>17656</v>
      </c>
      <c r="K59" s="149">
        <v>205142</v>
      </c>
      <c r="L59" s="150"/>
      <c r="M59" s="147">
        <f>O59+T59</f>
        <v>28404</v>
      </c>
      <c r="N59" s="149"/>
      <c r="O59" s="149">
        <v>28404</v>
      </c>
      <c r="P59" s="149">
        <v>27058</v>
      </c>
      <c r="Q59" s="149"/>
      <c r="R59" s="149"/>
      <c r="S59" s="149"/>
      <c r="T59" s="149">
        <f>1000000-1000000</f>
        <v>0</v>
      </c>
      <c r="U59" s="149"/>
      <c r="V59" s="147">
        <f t="shared" si="12"/>
        <v>934862</v>
      </c>
    </row>
    <row r="60" spans="1:22" ht="46.5" customHeight="1">
      <c r="A60" s="44" t="s">
        <v>774</v>
      </c>
      <c r="B60" s="101">
        <v>4060</v>
      </c>
      <c r="C60" s="109" t="s">
        <v>721</v>
      </c>
      <c r="D60" s="148" t="s">
        <v>425</v>
      </c>
      <c r="E60" s="147">
        <f t="shared" si="24"/>
        <v>6220625</v>
      </c>
      <c r="F60" s="149">
        <f t="shared" si="25"/>
        <v>6220625</v>
      </c>
      <c r="G60" s="149">
        <v>4992120</v>
      </c>
      <c r="H60" s="149"/>
      <c r="I60" s="149"/>
      <c r="J60" s="149">
        <v>1063668</v>
      </c>
      <c r="K60" s="149">
        <v>164837</v>
      </c>
      <c r="L60" s="150"/>
      <c r="M60" s="147">
        <f>O60+T60</f>
        <v>191718</v>
      </c>
      <c r="N60" s="149"/>
      <c r="O60" s="149">
        <v>191718</v>
      </c>
      <c r="P60" s="149"/>
      <c r="Q60" s="149"/>
      <c r="R60" s="149"/>
      <c r="S60" s="149">
        <v>32386</v>
      </c>
      <c r="T60" s="149"/>
      <c r="U60" s="149"/>
      <c r="V60" s="147">
        <f t="shared" si="12"/>
        <v>6412343</v>
      </c>
    </row>
    <row r="61" spans="1:22" ht="28.5" customHeight="1" hidden="1">
      <c r="A61" s="44" t="s">
        <v>427</v>
      </c>
      <c r="B61" s="101">
        <v>4080</v>
      </c>
      <c r="C61" s="109"/>
      <c r="D61" s="148" t="s">
        <v>426</v>
      </c>
      <c r="E61" s="147">
        <f t="shared" si="24"/>
        <v>18156077</v>
      </c>
      <c r="F61" s="149">
        <f t="shared" si="25"/>
        <v>18156077</v>
      </c>
      <c r="G61" s="149">
        <f>G62+G63</f>
        <v>1328690</v>
      </c>
      <c r="H61" s="149">
        <f>H62+H63</f>
        <v>0</v>
      </c>
      <c r="I61" s="149">
        <f>I62+I63</f>
        <v>0</v>
      </c>
      <c r="J61" s="149">
        <f>J62+J63</f>
        <v>11956</v>
      </c>
      <c r="K61" s="149">
        <f>K62+K63</f>
        <v>16815431</v>
      </c>
      <c r="L61" s="150"/>
      <c r="M61" s="147">
        <f>O61+T61</f>
        <v>0</v>
      </c>
      <c r="N61" s="149">
        <f>SUM(N62:N63)</f>
        <v>2308000</v>
      </c>
      <c r="O61" s="149"/>
      <c r="P61" s="149"/>
      <c r="Q61" s="149"/>
      <c r="R61" s="149"/>
      <c r="S61" s="149"/>
      <c r="T61" s="149"/>
      <c r="U61" s="149"/>
      <c r="V61" s="147">
        <f t="shared" si="12"/>
        <v>18156077</v>
      </c>
    </row>
    <row r="62" spans="1:22" ht="28.5" customHeight="1">
      <c r="A62" s="44" t="s">
        <v>734</v>
      </c>
      <c r="B62" s="101">
        <v>4081</v>
      </c>
      <c r="C62" s="109" t="s">
        <v>723</v>
      </c>
      <c r="D62" s="148" t="s">
        <v>733</v>
      </c>
      <c r="E62" s="147">
        <f t="shared" si="24"/>
        <v>9214377</v>
      </c>
      <c r="F62" s="149">
        <f t="shared" si="25"/>
        <v>9214377</v>
      </c>
      <c r="G62" s="149">
        <v>417142</v>
      </c>
      <c r="H62" s="149"/>
      <c r="I62" s="149"/>
      <c r="J62" s="149">
        <v>11956</v>
      </c>
      <c r="K62" s="149">
        <v>8785279</v>
      </c>
      <c r="L62" s="150"/>
      <c r="M62" s="147"/>
      <c r="N62" s="149"/>
      <c r="O62" s="149"/>
      <c r="P62" s="150"/>
      <c r="Q62" s="150"/>
      <c r="R62" s="150"/>
      <c r="S62" s="150"/>
      <c r="T62" s="149"/>
      <c r="U62" s="150"/>
      <c r="V62" s="147">
        <f t="shared" si="12"/>
        <v>9214377</v>
      </c>
    </row>
    <row r="63" spans="1:22" ht="15">
      <c r="A63" s="44" t="s">
        <v>735</v>
      </c>
      <c r="B63" s="101">
        <v>4082</v>
      </c>
      <c r="C63" s="109" t="s">
        <v>723</v>
      </c>
      <c r="D63" s="148" t="s">
        <v>737</v>
      </c>
      <c r="E63" s="147">
        <f t="shared" si="24"/>
        <v>8941700</v>
      </c>
      <c r="F63" s="149">
        <f t="shared" si="25"/>
        <v>8941700</v>
      </c>
      <c r="G63" s="149">
        <v>911548</v>
      </c>
      <c r="H63" s="149"/>
      <c r="I63" s="149"/>
      <c r="J63" s="149"/>
      <c r="K63" s="149">
        <f>3722525+13250+6845382-1000000-44011-16994-1490000</f>
        <v>8030152</v>
      </c>
      <c r="L63" s="150"/>
      <c r="M63" s="147">
        <f>O63+T63</f>
        <v>2308000</v>
      </c>
      <c r="N63" s="149">
        <f>T63</f>
        <v>2308000</v>
      </c>
      <c r="O63" s="149"/>
      <c r="P63" s="150"/>
      <c r="Q63" s="150"/>
      <c r="R63" s="150"/>
      <c r="S63" s="150"/>
      <c r="T63" s="149">
        <v>2308000</v>
      </c>
      <c r="U63" s="149"/>
      <c r="V63" s="147">
        <f t="shared" si="12"/>
        <v>11249700</v>
      </c>
    </row>
    <row r="64" spans="1:22" ht="17.25" customHeight="1">
      <c r="A64" s="44" t="s">
        <v>773</v>
      </c>
      <c r="B64" s="101">
        <v>5000</v>
      </c>
      <c r="C64" s="44"/>
      <c r="D64" s="161" t="s">
        <v>525</v>
      </c>
      <c r="E64" s="147">
        <f aca="true" t="shared" si="26" ref="E64:L64">E65+E68+E72++E74</f>
        <v>66775000</v>
      </c>
      <c r="F64" s="147">
        <f t="shared" si="26"/>
        <v>66775000</v>
      </c>
      <c r="G64" s="147">
        <f t="shared" si="26"/>
        <v>34449538</v>
      </c>
      <c r="H64" s="147">
        <f t="shared" si="26"/>
        <v>17400</v>
      </c>
      <c r="I64" s="147">
        <f t="shared" si="26"/>
        <v>3456293</v>
      </c>
      <c r="J64" s="147">
        <f t="shared" si="26"/>
        <v>1373700</v>
      </c>
      <c r="K64" s="147">
        <f t="shared" si="26"/>
        <v>27478069</v>
      </c>
      <c r="L64" s="147">
        <f t="shared" si="26"/>
        <v>0</v>
      </c>
      <c r="M64" s="147">
        <f aca="true" t="shared" si="27" ref="M64:U64">M66+M69+M73+M76+M75</f>
        <v>759230</v>
      </c>
      <c r="N64" s="147">
        <f>N66+N69+N73+N76+N75</f>
        <v>687614</v>
      </c>
      <c r="O64" s="147">
        <f t="shared" si="27"/>
        <v>71616</v>
      </c>
      <c r="P64" s="147">
        <f t="shared" si="27"/>
        <v>0</v>
      </c>
      <c r="Q64" s="147">
        <f t="shared" si="27"/>
        <v>0</v>
      </c>
      <c r="R64" s="147">
        <f t="shared" si="27"/>
        <v>0</v>
      </c>
      <c r="S64" s="147">
        <f t="shared" si="27"/>
        <v>0</v>
      </c>
      <c r="T64" s="147">
        <f>T66+T69+T73+T76+T75</f>
        <v>687614</v>
      </c>
      <c r="U64" s="147">
        <f t="shared" si="27"/>
        <v>70000</v>
      </c>
      <c r="V64" s="147">
        <f t="shared" si="12"/>
        <v>67534230</v>
      </c>
    </row>
    <row r="65" spans="1:22" ht="20.25" customHeight="1" hidden="1">
      <c r="A65" s="44" t="s">
        <v>772</v>
      </c>
      <c r="B65" s="101">
        <v>5010</v>
      </c>
      <c r="C65" s="44"/>
      <c r="D65" s="161" t="s">
        <v>875</v>
      </c>
      <c r="E65" s="147">
        <f>E66+E67</f>
        <v>1077865</v>
      </c>
      <c r="F65" s="99">
        <f>F66+F67</f>
        <v>1077865</v>
      </c>
      <c r="G65" s="99">
        <f aca="true" t="shared" si="28" ref="G65:L65">G66+G67</f>
        <v>0</v>
      </c>
      <c r="H65" s="99">
        <f t="shared" si="28"/>
        <v>0</v>
      </c>
      <c r="I65" s="99">
        <f t="shared" si="28"/>
        <v>559965</v>
      </c>
      <c r="J65" s="99">
        <f t="shared" si="28"/>
        <v>0</v>
      </c>
      <c r="K65" s="99">
        <f t="shared" si="28"/>
        <v>517900</v>
      </c>
      <c r="L65" s="99">
        <f t="shared" si="28"/>
        <v>0</v>
      </c>
      <c r="M65" s="147"/>
      <c r="N65" s="98"/>
      <c r="O65" s="98"/>
      <c r="P65" s="98"/>
      <c r="Q65" s="98"/>
      <c r="R65" s="98"/>
      <c r="S65" s="98"/>
      <c r="T65" s="98"/>
      <c r="U65" s="98"/>
      <c r="V65" s="147">
        <f t="shared" si="12"/>
        <v>1077865</v>
      </c>
    </row>
    <row r="66" spans="1:22" ht="36" customHeight="1">
      <c r="A66" s="44" t="s">
        <v>770</v>
      </c>
      <c r="B66" s="101">
        <v>5011</v>
      </c>
      <c r="C66" s="109" t="s">
        <v>724</v>
      </c>
      <c r="D66" s="46" t="s">
        <v>877</v>
      </c>
      <c r="E66" s="147">
        <f>F66+L66</f>
        <v>904760</v>
      </c>
      <c r="F66" s="149">
        <f>SUM(G66:K66)</f>
        <v>904760</v>
      </c>
      <c r="G66" s="149"/>
      <c r="H66" s="149"/>
      <c r="I66" s="149">
        <v>465618</v>
      </c>
      <c r="J66" s="149"/>
      <c r="K66" s="149">
        <v>439142</v>
      </c>
      <c r="L66" s="149"/>
      <c r="M66" s="147"/>
      <c r="N66" s="150"/>
      <c r="O66" s="150"/>
      <c r="P66" s="150"/>
      <c r="Q66" s="150"/>
      <c r="R66" s="150"/>
      <c r="S66" s="150"/>
      <c r="T66" s="150"/>
      <c r="U66" s="150"/>
      <c r="V66" s="147">
        <f t="shared" si="12"/>
        <v>904760</v>
      </c>
    </row>
    <row r="67" spans="1:22" ht="36.75" customHeight="1">
      <c r="A67" s="44" t="s">
        <v>550</v>
      </c>
      <c r="B67" s="101">
        <v>5012</v>
      </c>
      <c r="C67" s="109" t="s">
        <v>724</v>
      </c>
      <c r="D67" s="216" t="s">
        <v>551</v>
      </c>
      <c r="E67" s="147">
        <f>F67+L67</f>
        <v>173105</v>
      </c>
      <c r="F67" s="149">
        <f>SUM(G67:K67)</f>
        <v>173105</v>
      </c>
      <c r="G67" s="149"/>
      <c r="H67" s="149"/>
      <c r="I67" s="149">
        <v>94347</v>
      </c>
      <c r="J67" s="149"/>
      <c r="K67" s="149">
        <v>78758</v>
      </c>
      <c r="L67" s="149"/>
      <c r="M67" s="147"/>
      <c r="N67" s="150"/>
      <c r="O67" s="150"/>
      <c r="P67" s="150"/>
      <c r="Q67" s="150"/>
      <c r="R67" s="150"/>
      <c r="S67" s="150"/>
      <c r="T67" s="150"/>
      <c r="U67" s="150"/>
      <c r="V67" s="147">
        <f t="shared" si="12"/>
        <v>173105</v>
      </c>
    </row>
    <row r="68" spans="1:22" ht="27" hidden="1">
      <c r="A68" s="44" t="s">
        <v>771</v>
      </c>
      <c r="B68" s="298">
        <v>5030</v>
      </c>
      <c r="C68" s="165"/>
      <c r="D68" s="208" t="s">
        <v>108</v>
      </c>
      <c r="E68" s="147">
        <f>E69</f>
        <v>43470840</v>
      </c>
      <c r="F68" s="149">
        <f>F69</f>
        <v>43470840</v>
      </c>
      <c r="G68" s="149">
        <f aca="true" t="shared" si="29" ref="G68:L68">G69</f>
        <v>33228110</v>
      </c>
      <c r="H68" s="149">
        <f t="shared" si="29"/>
        <v>17400</v>
      </c>
      <c r="I68" s="149">
        <f t="shared" si="29"/>
        <v>2896328</v>
      </c>
      <c r="J68" s="149">
        <f t="shared" si="29"/>
        <v>1348499</v>
      </c>
      <c r="K68" s="149">
        <f t="shared" si="29"/>
        <v>5980503</v>
      </c>
      <c r="L68" s="149">
        <f t="shared" si="29"/>
        <v>0</v>
      </c>
      <c r="M68" s="147">
        <f>M69+M73</f>
        <v>759230</v>
      </c>
      <c r="N68" s="150">
        <f>N69</f>
        <v>687614</v>
      </c>
      <c r="O68" s="150">
        <f>O69+O73</f>
        <v>71616</v>
      </c>
      <c r="P68" s="150"/>
      <c r="Q68" s="150"/>
      <c r="R68" s="150"/>
      <c r="S68" s="150"/>
      <c r="T68" s="150">
        <f>T69</f>
        <v>687614</v>
      </c>
      <c r="U68" s="150">
        <f>U69</f>
        <v>70000</v>
      </c>
      <c r="V68" s="147">
        <f t="shared" si="12"/>
        <v>44230070</v>
      </c>
    </row>
    <row r="69" spans="1:22" ht="43.5" customHeight="1">
      <c r="A69" s="44" t="s">
        <v>769</v>
      </c>
      <c r="B69" s="298">
        <v>5031</v>
      </c>
      <c r="C69" s="165" t="s">
        <v>724</v>
      </c>
      <c r="D69" s="207" t="s">
        <v>526</v>
      </c>
      <c r="E69" s="147">
        <f>F69+L69</f>
        <v>43470840</v>
      </c>
      <c r="F69" s="149">
        <f>SUM(G69:K69)</f>
        <v>43470840</v>
      </c>
      <c r="G69" s="149">
        <v>33228110</v>
      </c>
      <c r="H69" s="149">
        <v>17400</v>
      </c>
      <c r="I69" s="149">
        <f>3596328-700000</f>
        <v>2896328</v>
      </c>
      <c r="J69" s="149">
        <f>1305799+42700</f>
        <v>1348499</v>
      </c>
      <c r="K69" s="149">
        <f>5912555+33356+54592+200000-300000+80000</f>
        <v>5980503</v>
      </c>
      <c r="L69" s="149"/>
      <c r="M69" s="147">
        <f>O69+T69</f>
        <v>759230</v>
      </c>
      <c r="N69" s="149">
        <f>1928964-120000-1191350+70000</f>
        <v>687614</v>
      </c>
      <c r="O69" s="149">
        <v>71616</v>
      </c>
      <c r="P69" s="149"/>
      <c r="Q69" s="149"/>
      <c r="R69" s="149"/>
      <c r="S69" s="149"/>
      <c r="T69" s="149">
        <f>1928964-120000-1191350+70000</f>
        <v>687614</v>
      </c>
      <c r="U69" s="149">
        <v>70000</v>
      </c>
      <c r="V69" s="147">
        <f t="shared" si="12"/>
        <v>44230070</v>
      </c>
    </row>
    <row r="70" spans="1:22" s="154" customFormat="1" ht="27" hidden="1">
      <c r="A70" s="47"/>
      <c r="B70" s="328"/>
      <c r="C70" s="210"/>
      <c r="D70" s="151" t="s">
        <v>109</v>
      </c>
      <c r="E70" s="156"/>
      <c r="F70" s="152"/>
      <c r="G70" s="152"/>
      <c r="H70" s="152"/>
      <c r="I70" s="152"/>
      <c r="J70" s="152"/>
      <c r="K70" s="152"/>
      <c r="L70" s="152"/>
      <c r="M70" s="147">
        <f aca="true" t="shared" si="30" ref="M70:M75">O70+T70</f>
        <v>0</v>
      </c>
      <c r="N70" s="152"/>
      <c r="O70" s="152"/>
      <c r="P70" s="152"/>
      <c r="Q70" s="152"/>
      <c r="R70" s="152"/>
      <c r="S70" s="152"/>
      <c r="T70" s="152"/>
      <c r="U70" s="152"/>
      <c r="V70" s="156">
        <f t="shared" si="12"/>
        <v>0</v>
      </c>
    </row>
    <row r="71" spans="1:22" s="154" customFormat="1" ht="15.75">
      <c r="A71" s="47"/>
      <c r="B71" s="328"/>
      <c r="C71" s="210"/>
      <c r="D71" s="151" t="s">
        <v>302</v>
      </c>
      <c r="E71" s="156">
        <f>F71</f>
        <v>80000</v>
      </c>
      <c r="F71" s="152">
        <f>SUM(G71:K71)</f>
        <v>80000</v>
      </c>
      <c r="G71" s="152"/>
      <c r="H71" s="152"/>
      <c r="I71" s="152"/>
      <c r="J71" s="152"/>
      <c r="K71" s="152">
        <v>80000</v>
      </c>
      <c r="L71" s="152"/>
      <c r="M71" s="147">
        <f t="shared" si="30"/>
        <v>0</v>
      </c>
      <c r="N71" s="152"/>
      <c r="O71" s="152"/>
      <c r="P71" s="152"/>
      <c r="Q71" s="152"/>
      <c r="R71" s="152"/>
      <c r="S71" s="152"/>
      <c r="T71" s="152"/>
      <c r="U71" s="152"/>
      <c r="V71" s="156">
        <f>E71+M71</f>
        <v>80000</v>
      </c>
    </row>
    <row r="72" spans="1:22" ht="33" customHeight="1">
      <c r="A72" s="44" t="s">
        <v>768</v>
      </c>
      <c r="B72" s="298">
        <v>5040</v>
      </c>
      <c r="C72" s="165"/>
      <c r="D72" s="208" t="s">
        <v>909</v>
      </c>
      <c r="E72" s="147">
        <f>E73</f>
        <v>14019300</v>
      </c>
      <c r="F72" s="149">
        <f>F73</f>
        <v>14019300</v>
      </c>
      <c r="G72" s="149">
        <f aca="true" t="shared" si="31" ref="G72:L72">G73</f>
        <v>0</v>
      </c>
      <c r="H72" s="149">
        <f t="shared" si="31"/>
        <v>0</v>
      </c>
      <c r="I72" s="149">
        <f t="shared" si="31"/>
        <v>0</v>
      </c>
      <c r="J72" s="149">
        <f t="shared" si="31"/>
        <v>0</v>
      </c>
      <c r="K72" s="149">
        <f t="shared" si="31"/>
        <v>14019300</v>
      </c>
      <c r="L72" s="149">
        <f t="shared" si="31"/>
        <v>0</v>
      </c>
      <c r="M72" s="147">
        <f t="shared" si="30"/>
        <v>0</v>
      </c>
      <c r="N72" s="150">
        <f>N73</f>
        <v>0</v>
      </c>
      <c r="O72" s="149"/>
      <c r="P72" s="149"/>
      <c r="Q72" s="149"/>
      <c r="R72" s="149"/>
      <c r="S72" s="149"/>
      <c r="T72" s="150">
        <f>T73</f>
        <v>0</v>
      </c>
      <c r="U72" s="150">
        <f>U73</f>
        <v>0</v>
      </c>
      <c r="V72" s="147">
        <f aca="true" t="shared" si="32" ref="V72:V82">M72+E72</f>
        <v>14019300</v>
      </c>
    </row>
    <row r="73" spans="1:22" ht="31.5" customHeight="1">
      <c r="A73" s="44" t="s">
        <v>767</v>
      </c>
      <c r="B73" s="298">
        <v>5041</v>
      </c>
      <c r="C73" s="165" t="s">
        <v>724</v>
      </c>
      <c r="D73" s="207" t="s">
        <v>428</v>
      </c>
      <c r="E73" s="147">
        <f>F73+L73</f>
        <v>14019300</v>
      </c>
      <c r="F73" s="149">
        <f>SUM(G73:K73)</f>
        <v>14019300</v>
      </c>
      <c r="G73" s="149"/>
      <c r="H73" s="149"/>
      <c r="I73" s="149"/>
      <c r="J73" s="149"/>
      <c r="K73" s="149">
        <f>8119300+6000000-100000</f>
        <v>14019300</v>
      </c>
      <c r="L73" s="149"/>
      <c r="M73" s="147">
        <f t="shared" si="30"/>
        <v>0</v>
      </c>
      <c r="N73" s="149">
        <f>T73</f>
        <v>0</v>
      </c>
      <c r="O73" s="149"/>
      <c r="P73" s="150"/>
      <c r="Q73" s="150"/>
      <c r="R73" s="150"/>
      <c r="S73" s="150"/>
      <c r="T73" s="149"/>
      <c r="U73" s="149"/>
      <c r="V73" s="147">
        <f t="shared" si="32"/>
        <v>14019300</v>
      </c>
    </row>
    <row r="74" spans="1:22" ht="33" customHeight="1" hidden="1">
      <c r="A74" s="44" t="s">
        <v>766</v>
      </c>
      <c r="B74" s="298">
        <v>5060</v>
      </c>
      <c r="C74" s="165"/>
      <c r="D74" s="212" t="s">
        <v>910</v>
      </c>
      <c r="E74" s="147">
        <f aca="true" t="shared" si="33" ref="E74:L74">E75+E76</f>
        <v>8206995</v>
      </c>
      <c r="F74" s="149">
        <f t="shared" si="33"/>
        <v>8206995</v>
      </c>
      <c r="G74" s="149">
        <f t="shared" si="33"/>
        <v>1221428</v>
      </c>
      <c r="H74" s="149">
        <f t="shared" si="33"/>
        <v>0</v>
      </c>
      <c r="I74" s="149">
        <f t="shared" si="33"/>
        <v>0</v>
      </c>
      <c r="J74" s="149">
        <f t="shared" si="33"/>
        <v>25201</v>
      </c>
      <c r="K74" s="149">
        <f t="shared" si="33"/>
        <v>6960366</v>
      </c>
      <c r="L74" s="149">
        <f t="shared" si="33"/>
        <v>0</v>
      </c>
      <c r="M74" s="147">
        <f t="shared" si="30"/>
        <v>0</v>
      </c>
      <c r="N74" s="149"/>
      <c r="O74" s="149"/>
      <c r="P74" s="150"/>
      <c r="Q74" s="150"/>
      <c r="R74" s="150"/>
      <c r="S74" s="150"/>
      <c r="T74" s="149"/>
      <c r="U74" s="149"/>
      <c r="V74" s="147">
        <f t="shared" si="32"/>
        <v>8206995</v>
      </c>
    </row>
    <row r="75" spans="1:22" ht="50.25" customHeight="1">
      <c r="A75" s="44" t="s">
        <v>765</v>
      </c>
      <c r="B75" s="298">
        <v>5062</v>
      </c>
      <c r="C75" s="165" t="s">
        <v>724</v>
      </c>
      <c r="D75" s="164" t="s">
        <v>852</v>
      </c>
      <c r="E75" s="147">
        <f>F75+L75</f>
        <v>6938736</v>
      </c>
      <c r="F75" s="149">
        <f>SUM(G75:K75)</f>
        <v>6938736</v>
      </c>
      <c r="G75" s="149"/>
      <c r="H75" s="149"/>
      <c r="I75" s="149"/>
      <c r="J75" s="149"/>
      <c r="K75" s="149">
        <f>5076736+6032000-1200000-1470000-1500000</f>
        <v>6938736</v>
      </c>
      <c r="L75" s="149"/>
      <c r="M75" s="147">
        <f t="shared" si="30"/>
        <v>0</v>
      </c>
      <c r="N75" s="149"/>
      <c r="O75" s="150"/>
      <c r="P75" s="150"/>
      <c r="Q75" s="150"/>
      <c r="R75" s="150"/>
      <c r="S75" s="150"/>
      <c r="T75" s="149"/>
      <c r="U75" s="150"/>
      <c r="V75" s="147">
        <f t="shared" si="32"/>
        <v>6938736</v>
      </c>
    </row>
    <row r="76" spans="1:22" ht="32.25" customHeight="1">
      <c r="A76" s="44" t="s">
        <v>764</v>
      </c>
      <c r="B76" s="298">
        <v>5063</v>
      </c>
      <c r="C76" s="165" t="s">
        <v>724</v>
      </c>
      <c r="D76" s="207" t="s">
        <v>896</v>
      </c>
      <c r="E76" s="147">
        <f>F76+L76</f>
        <v>1268259</v>
      </c>
      <c r="F76" s="149">
        <f>SUM(G76:K76)</f>
        <v>1268259</v>
      </c>
      <c r="G76" s="149">
        <v>1221428</v>
      </c>
      <c r="H76" s="149"/>
      <c r="I76" s="149"/>
      <c r="J76" s="149">
        <v>25201</v>
      </c>
      <c r="K76" s="149">
        <v>21630</v>
      </c>
      <c r="L76" s="149"/>
      <c r="M76" s="147"/>
      <c r="N76" s="150"/>
      <c r="O76" s="149"/>
      <c r="P76" s="150"/>
      <c r="Q76" s="150"/>
      <c r="R76" s="150"/>
      <c r="S76" s="150"/>
      <c r="T76" s="150"/>
      <c r="U76" s="150"/>
      <c r="V76" s="147">
        <f t="shared" si="32"/>
        <v>1268259</v>
      </c>
    </row>
    <row r="77" spans="1:22" ht="32.25" customHeight="1" hidden="1">
      <c r="A77" s="44" t="s">
        <v>757</v>
      </c>
      <c r="B77" s="298">
        <v>7321</v>
      </c>
      <c r="C77" s="165" t="s">
        <v>758</v>
      </c>
      <c r="D77" s="207" t="s">
        <v>759</v>
      </c>
      <c r="E77" s="147"/>
      <c r="F77" s="149"/>
      <c r="G77" s="149"/>
      <c r="H77" s="149"/>
      <c r="I77" s="149"/>
      <c r="J77" s="149"/>
      <c r="K77" s="149"/>
      <c r="L77" s="149"/>
      <c r="M77" s="147">
        <f>T77</f>
        <v>0</v>
      </c>
      <c r="N77" s="149"/>
      <c r="O77" s="149"/>
      <c r="P77" s="149"/>
      <c r="Q77" s="149"/>
      <c r="R77" s="149"/>
      <c r="S77" s="149"/>
      <c r="T77" s="149"/>
      <c r="U77" s="150"/>
      <c r="V77" s="147"/>
    </row>
    <row r="78" spans="1:22" ht="27" hidden="1">
      <c r="A78" s="44" t="s">
        <v>538</v>
      </c>
      <c r="B78" s="298"/>
      <c r="C78" s="165"/>
      <c r="D78" s="207" t="s">
        <v>537</v>
      </c>
      <c r="E78" s="147">
        <f>E80</f>
        <v>134926</v>
      </c>
      <c r="F78" s="149"/>
      <c r="G78" s="149"/>
      <c r="H78" s="149"/>
      <c r="I78" s="149"/>
      <c r="J78" s="149"/>
      <c r="K78" s="149"/>
      <c r="L78" s="149">
        <f>L80</f>
        <v>134926</v>
      </c>
      <c r="M78" s="147">
        <f>T78</f>
        <v>663781.66</v>
      </c>
      <c r="N78" s="150">
        <f>N79</f>
        <v>600000</v>
      </c>
      <c r="O78" s="149"/>
      <c r="P78" s="150"/>
      <c r="Q78" s="150"/>
      <c r="R78" s="150"/>
      <c r="S78" s="150"/>
      <c r="T78" s="150">
        <f>T80+T79</f>
        <v>663781.66</v>
      </c>
      <c r="U78" s="150"/>
      <c r="V78" s="147">
        <f t="shared" si="32"/>
        <v>798707.66</v>
      </c>
    </row>
    <row r="79" spans="1:22" ht="27">
      <c r="A79" s="44" t="s">
        <v>236</v>
      </c>
      <c r="B79" s="298">
        <v>6082</v>
      </c>
      <c r="C79" s="165" t="s">
        <v>328</v>
      </c>
      <c r="D79" s="207" t="s">
        <v>237</v>
      </c>
      <c r="E79" s="147"/>
      <c r="F79" s="149"/>
      <c r="G79" s="149"/>
      <c r="H79" s="149"/>
      <c r="I79" s="149"/>
      <c r="J79" s="149"/>
      <c r="K79" s="149"/>
      <c r="L79" s="149"/>
      <c r="M79" s="147">
        <f>T79</f>
        <v>600000</v>
      </c>
      <c r="N79" s="149">
        <f>T79</f>
        <v>600000</v>
      </c>
      <c r="O79" s="149"/>
      <c r="P79" s="150"/>
      <c r="Q79" s="150"/>
      <c r="R79" s="150"/>
      <c r="S79" s="150"/>
      <c r="T79" s="149">
        <v>600000</v>
      </c>
      <c r="U79" s="150"/>
      <c r="V79" s="147">
        <f t="shared" si="32"/>
        <v>600000</v>
      </c>
    </row>
    <row r="80" spans="1:22" ht="60.75" customHeight="1">
      <c r="A80" s="44" t="s">
        <v>517</v>
      </c>
      <c r="B80" s="298">
        <v>6084</v>
      </c>
      <c r="C80" s="165" t="s">
        <v>328</v>
      </c>
      <c r="D80" s="207" t="s">
        <v>518</v>
      </c>
      <c r="E80" s="147">
        <f>F80+L80</f>
        <v>134926</v>
      </c>
      <c r="F80" s="149"/>
      <c r="G80" s="149"/>
      <c r="H80" s="149"/>
      <c r="I80" s="149"/>
      <c r="J80" s="149"/>
      <c r="K80" s="149"/>
      <c r="L80" s="149">
        <v>134926</v>
      </c>
      <c r="M80" s="147">
        <f>T80</f>
        <v>63781.66</v>
      </c>
      <c r="N80" s="150"/>
      <c r="O80" s="149"/>
      <c r="P80" s="150"/>
      <c r="Q80" s="150"/>
      <c r="R80" s="150"/>
      <c r="S80" s="150"/>
      <c r="T80" s="149">
        <f>52925+10856.66</f>
        <v>63781.66</v>
      </c>
      <c r="U80" s="150"/>
      <c r="V80" s="147">
        <f t="shared" si="32"/>
        <v>198707.66</v>
      </c>
    </row>
    <row r="81" spans="1:22" s="171" customFormat="1" ht="15">
      <c r="A81" s="44" t="s">
        <v>757</v>
      </c>
      <c r="B81" s="101">
        <v>7321</v>
      </c>
      <c r="C81" s="109" t="s">
        <v>758</v>
      </c>
      <c r="D81" s="46" t="s">
        <v>759</v>
      </c>
      <c r="E81" s="147">
        <f>F81</f>
        <v>0</v>
      </c>
      <c r="F81" s="149"/>
      <c r="G81" s="150"/>
      <c r="H81" s="150"/>
      <c r="I81" s="150"/>
      <c r="J81" s="150"/>
      <c r="K81" s="150"/>
      <c r="L81" s="150"/>
      <c r="M81" s="147">
        <f>O81+T81</f>
        <v>75244059.36</v>
      </c>
      <c r="N81" s="149">
        <f>87864705.83+1984000+1901709.9+90000-30000+3041023+780000-3750000-16567370.95+50000-670000-1000000+1549991.58</f>
        <v>75244059.36</v>
      </c>
      <c r="O81" s="149"/>
      <c r="P81" s="149"/>
      <c r="Q81" s="149"/>
      <c r="R81" s="149"/>
      <c r="S81" s="149"/>
      <c r="T81" s="149">
        <f>N81</f>
        <v>75244059.36</v>
      </c>
      <c r="U81" s="149">
        <f>35174474.87+2054105-73813-163820.3+780000-3750000+1549991.58</f>
        <v>35570938.15</v>
      </c>
      <c r="V81" s="147">
        <f t="shared" si="32"/>
        <v>75244059.36</v>
      </c>
    </row>
    <row r="82" spans="1:22" s="258" customFormat="1" ht="28.5" hidden="1">
      <c r="A82" s="47"/>
      <c r="B82" s="121"/>
      <c r="C82" s="48"/>
      <c r="D82" s="151" t="s">
        <v>479</v>
      </c>
      <c r="E82" s="156"/>
      <c r="F82" s="152"/>
      <c r="G82" s="153"/>
      <c r="H82" s="153"/>
      <c r="I82" s="153"/>
      <c r="J82" s="153"/>
      <c r="K82" s="153"/>
      <c r="L82" s="153"/>
      <c r="M82" s="156">
        <f>O82+T82</f>
        <v>0</v>
      </c>
      <c r="N82" s="152"/>
      <c r="O82" s="152"/>
      <c r="P82" s="153"/>
      <c r="Q82" s="153"/>
      <c r="R82" s="153"/>
      <c r="S82" s="153"/>
      <c r="T82" s="152"/>
      <c r="U82" s="152"/>
      <c r="V82" s="156">
        <f t="shared" si="32"/>
        <v>0</v>
      </c>
    </row>
    <row r="83" spans="1:22" s="258" customFormat="1" ht="48.75" customHeight="1" hidden="1">
      <c r="A83" s="47"/>
      <c r="B83" s="121"/>
      <c r="C83" s="48"/>
      <c r="D83" s="49" t="s">
        <v>84</v>
      </c>
      <c r="E83" s="156"/>
      <c r="F83" s="152"/>
      <c r="G83" s="153"/>
      <c r="H83" s="153"/>
      <c r="I83" s="153"/>
      <c r="J83" s="153"/>
      <c r="K83" s="153"/>
      <c r="L83" s="153"/>
      <c r="M83" s="156">
        <f>O83+T83</f>
        <v>0</v>
      </c>
      <c r="N83" s="152"/>
      <c r="O83" s="152"/>
      <c r="P83" s="153"/>
      <c r="Q83" s="153"/>
      <c r="R83" s="153"/>
      <c r="S83" s="153"/>
      <c r="T83" s="152"/>
      <c r="U83" s="152"/>
      <c r="V83" s="156">
        <f aca="true" t="shared" si="34" ref="V83:V91">E83+M83</f>
        <v>0</v>
      </c>
    </row>
    <row r="84" spans="1:22" ht="15">
      <c r="A84" s="44" t="s">
        <v>480</v>
      </c>
      <c r="B84" s="101">
        <v>7324</v>
      </c>
      <c r="C84" s="109" t="s">
        <v>758</v>
      </c>
      <c r="D84" s="46" t="s">
        <v>483</v>
      </c>
      <c r="E84" s="169"/>
      <c r="F84" s="149"/>
      <c r="G84" s="149"/>
      <c r="H84" s="149"/>
      <c r="I84" s="149"/>
      <c r="J84" s="149"/>
      <c r="K84" s="149"/>
      <c r="L84" s="149"/>
      <c r="M84" s="147">
        <f aca="true" t="shared" si="35" ref="M84:M91">T84</f>
        <v>3977878</v>
      </c>
      <c r="N84" s="149">
        <f aca="true" t="shared" si="36" ref="N84:N91">T84</f>
        <v>3977878</v>
      </c>
      <c r="O84" s="149"/>
      <c r="P84" s="149"/>
      <c r="Q84" s="149"/>
      <c r="R84" s="149"/>
      <c r="S84" s="149"/>
      <c r="T84" s="149">
        <f>6326180+692721-3041023</f>
        <v>3977878</v>
      </c>
      <c r="U84" s="149"/>
      <c r="V84" s="147">
        <f t="shared" si="34"/>
        <v>3977878</v>
      </c>
    </row>
    <row r="85" spans="1:22" ht="36.75" customHeight="1">
      <c r="A85" s="44" t="s">
        <v>481</v>
      </c>
      <c r="B85" s="101">
        <v>7325</v>
      </c>
      <c r="C85" s="109" t="s">
        <v>758</v>
      </c>
      <c r="D85" s="46" t="s">
        <v>475</v>
      </c>
      <c r="E85" s="169"/>
      <c r="F85" s="149"/>
      <c r="G85" s="149"/>
      <c r="H85" s="149"/>
      <c r="I85" s="149"/>
      <c r="J85" s="149"/>
      <c r="K85" s="149"/>
      <c r="L85" s="149"/>
      <c r="M85" s="147">
        <f t="shared" si="35"/>
        <v>1203955.56</v>
      </c>
      <c r="N85" s="149">
        <f t="shared" si="36"/>
        <v>1203955.56</v>
      </c>
      <c r="O85" s="149"/>
      <c r="P85" s="149"/>
      <c r="Q85" s="149"/>
      <c r="R85" s="149"/>
      <c r="S85" s="149"/>
      <c r="T85" s="149">
        <f>1168955.56+35000</f>
        <v>1203955.56</v>
      </c>
      <c r="U85" s="149"/>
      <c r="V85" s="147">
        <f t="shared" si="34"/>
        <v>1203955.56</v>
      </c>
    </row>
    <row r="86" spans="1:22" ht="57" customHeight="1">
      <c r="A86" s="44" t="s">
        <v>251</v>
      </c>
      <c r="B86" s="101">
        <v>7361</v>
      </c>
      <c r="C86" s="109" t="s">
        <v>411</v>
      </c>
      <c r="D86" s="46" t="s">
        <v>252</v>
      </c>
      <c r="E86" s="169"/>
      <c r="F86" s="149"/>
      <c r="G86" s="149"/>
      <c r="H86" s="149"/>
      <c r="I86" s="149"/>
      <c r="J86" s="149"/>
      <c r="K86" s="149"/>
      <c r="L86" s="149"/>
      <c r="M86" s="147">
        <f t="shared" si="35"/>
        <v>2400000</v>
      </c>
      <c r="N86" s="149">
        <f>T86</f>
        <v>2400000</v>
      </c>
      <c r="O86" s="149"/>
      <c r="P86" s="149"/>
      <c r="Q86" s="149"/>
      <c r="R86" s="149"/>
      <c r="S86" s="149"/>
      <c r="T86" s="149">
        <v>2400000</v>
      </c>
      <c r="U86" s="149">
        <v>2400000</v>
      </c>
      <c r="V86" s="147">
        <f t="shared" si="34"/>
        <v>2400000</v>
      </c>
    </row>
    <row r="87" spans="1:22" ht="49.5" customHeight="1">
      <c r="A87" s="44" t="s">
        <v>623</v>
      </c>
      <c r="B87" s="101">
        <v>7363</v>
      </c>
      <c r="C87" s="109" t="s">
        <v>411</v>
      </c>
      <c r="D87" s="46" t="s">
        <v>624</v>
      </c>
      <c r="E87" s="169"/>
      <c r="F87" s="149"/>
      <c r="G87" s="149"/>
      <c r="H87" s="149"/>
      <c r="I87" s="149"/>
      <c r="J87" s="149"/>
      <c r="K87" s="149"/>
      <c r="L87" s="149"/>
      <c r="M87" s="147">
        <f t="shared" si="35"/>
        <v>2238486.39</v>
      </c>
      <c r="N87" s="166">
        <f t="shared" si="36"/>
        <v>2238486.39</v>
      </c>
      <c r="O87" s="166"/>
      <c r="P87" s="166"/>
      <c r="Q87" s="166"/>
      <c r="R87" s="166"/>
      <c r="S87" s="166"/>
      <c r="T87" s="166">
        <f>410288.07+185090.32+1643108</f>
        <v>2238486.39</v>
      </c>
      <c r="U87" s="166">
        <f>185090.32+1643108</f>
        <v>1828198.32</v>
      </c>
      <c r="V87" s="147">
        <f t="shared" si="34"/>
        <v>2238486.39</v>
      </c>
    </row>
    <row r="88" spans="1:22" ht="49.5" customHeight="1">
      <c r="A88" s="44"/>
      <c r="B88" s="101"/>
      <c r="C88" s="109"/>
      <c r="D88" s="151" t="s">
        <v>943</v>
      </c>
      <c r="E88" s="169"/>
      <c r="F88" s="149"/>
      <c r="G88" s="149"/>
      <c r="H88" s="149"/>
      <c r="I88" s="149"/>
      <c r="J88" s="149"/>
      <c r="K88" s="149"/>
      <c r="L88" s="149"/>
      <c r="M88" s="147">
        <f t="shared" si="35"/>
        <v>1643108</v>
      </c>
      <c r="N88" s="167">
        <f>T88</f>
        <v>1643108</v>
      </c>
      <c r="O88" s="167"/>
      <c r="P88" s="167"/>
      <c r="Q88" s="167"/>
      <c r="R88" s="167"/>
      <c r="S88" s="167"/>
      <c r="T88" s="167">
        <v>1643108</v>
      </c>
      <c r="U88" s="167">
        <f>T88</f>
        <v>1643108</v>
      </c>
      <c r="V88" s="147">
        <f t="shared" si="34"/>
        <v>1643108</v>
      </c>
    </row>
    <row r="89" spans="1:22" ht="28.5" customHeight="1">
      <c r="A89" s="44" t="s">
        <v>602</v>
      </c>
      <c r="B89" s="101">
        <v>7670</v>
      </c>
      <c r="C89" s="109" t="s">
        <v>411</v>
      </c>
      <c r="D89" s="46" t="s">
        <v>500</v>
      </c>
      <c r="E89" s="169"/>
      <c r="F89" s="149"/>
      <c r="G89" s="149"/>
      <c r="H89" s="149"/>
      <c r="I89" s="149"/>
      <c r="J89" s="149"/>
      <c r="K89" s="149"/>
      <c r="L89" s="149"/>
      <c r="M89" s="147">
        <f t="shared" si="35"/>
        <v>8793356.719999999</v>
      </c>
      <c r="N89" s="149">
        <f t="shared" si="36"/>
        <v>8793356.719999999</v>
      </c>
      <c r="O89" s="149"/>
      <c r="P89" s="149"/>
      <c r="Q89" s="149"/>
      <c r="R89" s="149"/>
      <c r="S89" s="149"/>
      <c r="T89" s="149">
        <f>6908437.72+1884919</f>
        <v>8793356.719999999</v>
      </c>
      <c r="U89" s="149"/>
      <c r="V89" s="147">
        <f t="shared" si="34"/>
        <v>8793356.719999999</v>
      </c>
    </row>
    <row r="90" spans="1:22" ht="15" hidden="1">
      <c r="A90" s="44"/>
      <c r="B90" s="101"/>
      <c r="C90" s="109"/>
      <c r="D90" s="49" t="s">
        <v>154</v>
      </c>
      <c r="E90" s="169"/>
      <c r="F90" s="149"/>
      <c r="G90" s="149"/>
      <c r="H90" s="149"/>
      <c r="I90" s="149"/>
      <c r="J90" s="149"/>
      <c r="K90" s="149"/>
      <c r="L90" s="149"/>
      <c r="M90" s="147">
        <f t="shared" si="35"/>
        <v>0</v>
      </c>
      <c r="N90" s="149">
        <f t="shared" si="36"/>
        <v>0</v>
      </c>
      <c r="O90" s="149"/>
      <c r="P90" s="149"/>
      <c r="Q90" s="149"/>
      <c r="R90" s="149"/>
      <c r="S90" s="149"/>
      <c r="T90" s="149"/>
      <c r="U90" s="149"/>
      <c r="V90" s="147">
        <f t="shared" si="34"/>
        <v>0</v>
      </c>
    </row>
    <row r="91" spans="1:22" ht="15">
      <c r="A91" s="44" t="s">
        <v>482</v>
      </c>
      <c r="B91" s="101">
        <v>9770</v>
      </c>
      <c r="C91" s="109" t="s">
        <v>106</v>
      </c>
      <c r="D91" s="46" t="s">
        <v>606</v>
      </c>
      <c r="E91" s="169"/>
      <c r="F91" s="149"/>
      <c r="G91" s="149"/>
      <c r="H91" s="149"/>
      <c r="I91" s="149"/>
      <c r="J91" s="149"/>
      <c r="K91" s="149"/>
      <c r="L91" s="149"/>
      <c r="M91" s="147">
        <f t="shared" si="35"/>
        <v>200000</v>
      </c>
      <c r="N91" s="149">
        <f t="shared" si="36"/>
        <v>200000</v>
      </c>
      <c r="O91" s="149"/>
      <c r="P91" s="149"/>
      <c r="Q91" s="149"/>
      <c r="R91" s="149"/>
      <c r="S91" s="149"/>
      <c r="T91" s="149">
        <v>200000</v>
      </c>
      <c r="U91" s="149">
        <f>T91</f>
        <v>200000</v>
      </c>
      <c r="V91" s="147">
        <f t="shared" si="34"/>
        <v>200000</v>
      </c>
    </row>
    <row r="92" spans="1:24" s="97" customFormat="1" ht="33" customHeight="1">
      <c r="A92" s="145" t="s">
        <v>763</v>
      </c>
      <c r="B92" s="158"/>
      <c r="C92" s="145"/>
      <c r="D92" s="159" t="s">
        <v>449</v>
      </c>
      <c r="E92" s="147">
        <f aca="true" t="shared" si="37" ref="E92:U92">E93</f>
        <v>354089489.65000004</v>
      </c>
      <c r="F92" s="147">
        <f t="shared" si="37"/>
        <v>354089489.65000004</v>
      </c>
      <c r="G92" s="147">
        <f t="shared" si="37"/>
        <v>6647940</v>
      </c>
      <c r="H92" s="147">
        <f t="shared" si="37"/>
        <v>0</v>
      </c>
      <c r="I92" s="147">
        <f t="shared" si="37"/>
        <v>0</v>
      </c>
      <c r="J92" s="147">
        <f t="shared" si="37"/>
        <v>0</v>
      </c>
      <c r="K92" s="147">
        <f t="shared" si="37"/>
        <v>347441549.65000004</v>
      </c>
      <c r="L92" s="147">
        <f t="shared" si="37"/>
        <v>0</v>
      </c>
      <c r="M92" s="147">
        <f t="shared" si="37"/>
        <v>102414312.31</v>
      </c>
      <c r="N92" s="147">
        <f t="shared" si="37"/>
        <v>102414312.31</v>
      </c>
      <c r="O92" s="147">
        <f t="shared" si="37"/>
        <v>0</v>
      </c>
      <c r="P92" s="147">
        <f t="shared" si="37"/>
        <v>0</v>
      </c>
      <c r="Q92" s="147">
        <f t="shared" si="37"/>
        <v>0</v>
      </c>
      <c r="R92" s="147">
        <f t="shared" si="37"/>
        <v>0</v>
      </c>
      <c r="S92" s="147">
        <f t="shared" si="37"/>
        <v>0</v>
      </c>
      <c r="T92" s="147">
        <f t="shared" si="37"/>
        <v>102414312.31</v>
      </c>
      <c r="U92" s="147">
        <f t="shared" si="37"/>
        <v>75942965.16</v>
      </c>
      <c r="V92" s="147">
        <f aca="true" t="shared" si="38" ref="V92:V137">M92+E92</f>
        <v>456503801.96000004</v>
      </c>
      <c r="X92" s="308"/>
    </row>
    <row r="93" spans="1:22" s="97" customFormat="1" ht="33" customHeight="1">
      <c r="A93" s="145" t="s">
        <v>761</v>
      </c>
      <c r="B93" s="158"/>
      <c r="C93" s="145"/>
      <c r="D93" s="159" t="s">
        <v>449</v>
      </c>
      <c r="E93" s="147">
        <f>E94+E95+E139+E134+E141</f>
        <v>354089489.65000004</v>
      </c>
      <c r="F93" s="147">
        <f>F94+F95+F139+F141+F134</f>
        <v>354089489.65000004</v>
      </c>
      <c r="G93" s="147">
        <f>G94+G95+G139</f>
        <v>6647940</v>
      </c>
      <c r="H93" s="147">
        <f>H94+H95+H139</f>
        <v>0</v>
      </c>
      <c r="I93" s="147">
        <f>I94+I95+I139</f>
        <v>0</v>
      </c>
      <c r="J93" s="147">
        <f>J94+J95+J139</f>
        <v>0</v>
      </c>
      <c r="K93" s="147">
        <f>K94+K95+K139+K141+K134</f>
        <v>347441549.65000004</v>
      </c>
      <c r="L93" s="147">
        <f>L94+L95+L139</f>
        <v>0</v>
      </c>
      <c r="M93" s="147">
        <f aca="true" t="shared" si="39" ref="M93:U93">M94+M95+M139+M136+M141+M138</f>
        <v>102414312.31</v>
      </c>
      <c r="N93" s="147">
        <f t="shared" si="39"/>
        <v>102414312.31</v>
      </c>
      <c r="O93" s="147">
        <f t="shared" si="39"/>
        <v>0</v>
      </c>
      <c r="P93" s="147">
        <f t="shared" si="39"/>
        <v>0</v>
      </c>
      <c r="Q93" s="147">
        <f t="shared" si="39"/>
        <v>0</v>
      </c>
      <c r="R93" s="147">
        <f t="shared" si="39"/>
        <v>0</v>
      </c>
      <c r="S93" s="147">
        <f t="shared" si="39"/>
        <v>0</v>
      </c>
      <c r="T93" s="147">
        <f>T94+T95+T139+T136+T141+T138</f>
        <v>102414312.31</v>
      </c>
      <c r="U93" s="147">
        <f t="shared" si="39"/>
        <v>75942965.16</v>
      </c>
      <c r="V93" s="147">
        <f t="shared" si="38"/>
        <v>456503801.96000004</v>
      </c>
    </row>
    <row r="94" spans="1:22" ht="48.75" customHeight="1">
      <c r="A94" s="44" t="s">
        <v>760</v>
      </c>
      <c r="B94" s="109" t="s">
        <v>367</v>
      </c>
      <c r="C94" s="109" t="s">
        <v>105</v>
      </c>
      <c r="D94" s="148" t="s">
        <v>360</v>
      </c>
      <c r="E94" s="147">
        <f aca="true" t="shared" si="40" ref="E94:E135">F94</f>
        <v>6860520</v>
      </c>
      <c r="F94" s="149">
        <f>SUM(G94:L94)</f>
        <v>6860520</v>
      </c>
      <c r="G94" s="149">
        <v>6647940</v>
      </c>
      <c r="H94" s="149"/>
      <c r="I94" s="149"/>
      <c r="J94" s="149"/>
      <c r="K94" s="149">
        <v>212580</v>
      </c>
      <c r="L94" s="150"/>
      <c r="M94" s="147">
        <f>SUM(O94,T94)</f>
        <v>0</v>
      </c>
      <c r="N94" s="149"/>
      <c r="O94" s="150"/>
      <c r="P94" s="150"/>
      <c r="Q94" s="150"/>
      <c r="R94" s="150"/>
      <c r="S94" s="150"/>
      <c r="T94" s="149"/>
      <c r="U94" s="149"/>
      <c r="V94" s="147">
        <f t="shared" si="38"/>
        <v>6860520</v>
      </c>
    </row>
    <row r="95" spans="1:22" ht="15">
      <c r="A95" s="44" t="s">
        <v>132</v>
      </c>
      <c r="B95" s="101">
        <v>2000</v>
      </c>
      <c r="C95" s="44"/>
      <c r="D95" s="161" t="s">
        <v>888</v>
      </c>
      <c r="E95" s="147">
        <f>F95</f>
        <v>347032089.65000004</v>
      </c>
      <c r="F95" s="150">
        <f>SUM(G95:K95)</f>
        <v>347032089.65000004</v>
      </c>
      <c r="G95" s="150">
        <f>G100+G107+G111+G114+G126</f>
        <v>0</v>
      </c>
      <c r="H95" s="150">
        <f>H100+H107+H111+H114+H126</f>
        <v>0</v>
      </c>
      <c r="I95" s="150">
        <f>I100+I107+I111+I114+I126</f>
        <v>0</v>
      </c>
      <c r="J95" s="150">
        <f>J100+J107+J111+J114+J126</f>
        <v>0</v>
      </c>
      <c r="K95" s="150">
        <f>K100+K107+K111+K114+K126+K119+K117</f>
        <v>347032089.65000004</v>
      </c>
      <c r="L95" s="150"/>
      <c r="M95" s="147">
        <f>SUM(O95,T95)</f>
        <v>0</v>
      </c>
      <c r="N95" s="150">
        <f>N100+N107+N111+N114+N126+N117</f>
        <v>0</v>
      </c>
      <c r="O95" s="150">
        <f>O100+O107+O111+O114+O126+O117</f>
        <v>0</v>
      </c>
      <c r="P95" s="150">
        <f>P100+P107+P111+P114+P126</f>
        <v>0</v>
      </c>
      <c r="Q95" s="150">
        <f>Q100+Q107+Q111+Q114+Q126</f>
        <v>0</v>
      </c>
      <c r="R95" s="150">
        <f>R100+R107+R111+R114+R126</f>
        <v>0</v>
      </c>
      <c r="S95" s="150">
        <f>S100+S107+S111+S114+S126</f>
        <v>0</v>
      </c>
      <c r="T95" s="150">
        <f>T100+T107+T111+T114+T126+T117</f>
        <v>0</v>
      </c>
      <c r="U95" s="150">
        <f>U100+U107+U111+U114+U126+U117</f>
        <v>0</v>
      </c>
      <c r="V95" s="147">
        <f t="shared" si="38"/>
        <v>347032089.65000004</v>
      </c>
    </row>
    <row r="96" spans="1:22" s="154" customFormat="1" ht="28.5">
      <c r="A96" s="47"/>
      <c r="B96" s="121"/>
      <c r="C96" s="47"/>
      <c r="D96" s="151" t="s">
        <v>913</v>
      </c>
      <c r="E96" s="156">
        <f t="shared" si="40"/>
        <v>55253600</v>
      </c>
      <c r="F96" s="152">
        <f aca="true" t="shared" si="41" ref="F96:F135">SUM(G96:K96)</f>
        <v>55253600</v>
      </c>
      <c r="G96" s="152">
        <f>G102+G109+G113+G116+G130</f>
        <v>0</v>
      </c>
      <c r="H96" s="152">
        <f>H102+H109+H113+H116+H130</f>
        <v>0</v>
      </c>
      <c r="I96" s="152">
        <f>I102+I109+I113+I116+I130</f>
        <v>0</v>
      </c>
      <c r="J96" s="152">
        <f>J102+J109+J113+J116+J130</f>
        <v>0</v>
      </c>
      <c r="K96" s="152">
        <f>K102+K109+K113+K116+K128+K130</f>
        <v>55253600</v>
      </c>
      <c r="L96" s="153"/>
      <c r="M96" s="156"/>
      <c r="N96" s="153"/>
      <c r="O96" s="153"/>
      <c r="P96" s="153"/>
      <c r="Q96" s="153"/>
      <c r="R96" s="153"/>
      <c r="S96" s="153"/>
      <c r="T96" s="153"/>
      <c r="U96" s="153"/>
      <c r="V96" s="156">
        <f t="shared" si="38"/>
        <v>55253600</v>
      </c>
    </row>
    <row r="97" spans="1:22" s="154" customFormat="1" ht="60" customHeight="1">
      <c r="A97" s="47"/>
      <c r="B97" s="121"/>
      <c r="C97" s="47"/>
      <c r="D97" s="151" t="s">
        <v>242</v>
      </c>
      <c r="E97" s="156">
        <f t="shared" si="40"/>
        <v>2173320</v>
      </c>
      <c r="F97" s="152">
        <f>F121</f>
        <v>2173320</v>
      </c>
      <c r="G97" s="152">
        <f aca="true" t="shared" si="42" ref="G97:L97">G121</f>
        <v>0</v>
      </c>
      <c r="H97" s="152">
        <f t="shared" si="42"/>
        <v>0</v>
      </c>
      <c r="I97" s="152">
        <f t="shared" si="42"/>
        <v>0</v>
      </c>
      <c r="J97" s="152">
        <f t="shared" si="42"/>
        <v>0</v>
      </c>
      <c r="K97" s="152">
        <f t="shared" si="42"/>
        <v>2173320</v>
      </c>
      <c r="L97" s="152">
        <f t="shared" si="42"/>
        <v>0</v>
      </c>
      <c r="M97" s="156"/>
      <c r="N97" s="153"/>
      <c r="O97" s="153"/>
      <c r="P97" s="153"/>
      <c r="Q97" s="153"/>
      <c r="R97" s="153"/>
      <c r="S97" s="153"/>
      <c r="T97" s="153"/>
      <c r="U97" s="153"/>
      <c r="V97" s="156">
        <f t="shared" si="38"/>
        <v>2173320</v>
      </c>
    </row>
    <row r="98" spans="1:22" s="154" customFormat="1" ht="94.5" customHeight="1">
      <c r="A98" s="47"/>
      <c r="B98" s="121"/>
      <c r="C98" s="47"/>
      <c r="D98" s="151" t="s">
        <v>240</v>
      </c>
      <c r="E98" s="156">
        <f t="shared" si="40"/>
        <v>3102124</v>
      </c>
      <c r="F98" s="152">
        <f>F103</f>
        <v>3102124</v>
      </c>
      <c r="G98" s="152">
        <f aca="true" t="shared" si="43" ref="G98:L98">G103</f>
        <v>0</v>
      </c>
      <c r="H98" s="152">
        <f t="shared" si="43"/>
        <v>0</v>
      </c>
      <c r="I98" s="152">
        <f t="shared" si="43"/>
        <v>0</v>
      </c>
      <c r="J98" s="152">
        <f t="shared" si="43"/>
        <v>0</v>
      </c>
      <c r="K98" s="152">
        <f t="shared" si="43"/>
        <v>3102124</v>
      </c>
      <c r="L98" s="152">
        <f t="shared" si="43"/>
        <v>0</v>
      </c>
      <c r="M98" s="156"/>
      <c r="N98" s="153"/>
      <c r="O98" s="153"/>
      <c r="P98" s="153"/>
      <c r="Q98" s="153"/>
      <c r="R98" s="153"/>
      <c r="S98" s="153"/>
      <c r="T98" s="153"/>
      <c r="U98" s="153"/>
      <c r="V98" s="156">
        <f t="shared" si="38"/>
        <v>3102124</v>
      </c>
    </row>
    <row r="99" spans="1:22" s="154" customFormat="1" ht="31.5" customHeight="1">
      <c r="A99" s="47"/>
      <c r="B99" s="121"/>
      <c r="C99" s="47"/>
      <c r="D99" s="151" t="s">
        <v>302</v>
      </c>
      <c r="E99" s="156">
        <f t="shared" si="40"/>
        <v>4764486</v>
      </c>
      <c r="F99" s="152">
        <f>F131</f>
        <v>4764486</v>
      </c>
      <c r="G99" s="152">
        <f aca="true" t="shared" si="44" ref="G99:L99">G131</f>
        <v>0</v>
      </c>
      <c r="H99" s="152">
        <f t="shared" si="44"/>
        <v>0</v>
      </c>
      <c r="I99" s="152">
        <f t="shared" si="44"/>
        <v>0</v>
      </c>
      <c r="J99" s="152">
        <f t="shared" si="44"/>
        <v>0</v>
      </c>
      <c r="K99" s="152">
        <f t="shared" si="44"/>
        <v>4764486</v>
      </c>
      <c r="L99" s="152">
        <f t="shared" si="44"/>
        <v>0</v>
      </c>
      <c r="M99" s="156"/>
      <c r="N99" s="153"/>
      <c r="O99" s="153"/>
      <c r="P99" s="153"/>
      <c r="Q99" s="153"/>
      <c r="R99" s="153"/>
      <c r="S99" s="153"/>
      <c r="T99" s="153"/>
      <c r="U99" s="153"/>
      <c r="V99" s="156">
        <f t="shared" si="38"/>
        <v>4764486</v>
      </c>
    </row>
    <row r="100" spans="1:22" ht="33" customHeight="1">
      <c r="A100" s="44" t="s">
        <v>131</v>
      </c>
      <c r="B100" s="101">
        <v>2010</v>
      </c>
      <c r="C100" s="109" t="s">
        <v>331</v>
      </c>
      <c r="D100" s="46" t="s">
        <v>452</v>
      </c>
      <c r="E100" s="147">
        <f>F100</f>
        <v>192470774.27</v>
      </c>
      <c r="F100" s="149">
        <f>SUM(G100:K100)</f>
        <v>192470774.27</v>
      </c>
      <c r="G100" s="152"/>
      <c r="H100" s="149"/>
      <c r="I100" s="149"/>
      <c r="J100" s="149"/>
      <c r="K100" s="149">
        <f>164546995+231476-5086914+3000000+5066988.96+21198656.41+33071.9+2500000+980500</f>
        <v>192470774.27</v>
      </c>
      <c r="L100" s="149"/>
      <c r="M100" s="147">
        <f>SUM(O100,T100)</f>
        <v>0</v>
      </c>
      <c r="N100" s="99"/>
      <c r="O100" s="149"/>
      <c r="P100" s="149"/>
      <c r="Q100" s="149"/>
      <c r="R100" s="149"/>
      <c r="S100" s="149"/>
      <c r="T100" s="149"/>
      <c r="U100" s="99"/>
      <c r="V100" s="147">
        <f t="shared" si="38"/>
        <v>192470774.27</v>
      </c>
    </row>
    <row r="101" spans="1:22" ht="54" customHeight="1" hidden="1">
      <c r="A101" s="44"/>
      <c r="B101" s="101"/>
      <c r="C101" s="109"/>
      <c r="D101" s="46" t="s">
        <v>200</v>
      </c>
      <c r="E101" s="147">
        <f>F101</f>
        <v>0</v>
      </c>
      <c r="F101" s="149">
        <f>SUM(G101:K101)</f>
        <v>0</v>
      </c>
      <c r="G101" s="152"/>
      <c r="H101" s="149"/>
      <c r="I101" s="149"/>
      <c r="J101" s="149"/>
      <c r="K101" s="149"/>
      <c r="L101" s="149"/>
      <c r="M101" s="147"/>
      <c r="N101" s="99"/>
      <c r="O101" s="149"/>
      <c r="P101" s="149"/>
      <c r="Q101" s="149"/>
      <c r="R101" s="149"/>
      <c r="S101" s="149"/>
      <c r="T101" s="149"/>
      <c r="U101" s="99"/>
      <c r="V101" s="147">
        <f t="shared" si="38"/>
        <v>0</v>
      </c>
    </row>
    <row r="102" spans="1:22" s="154" customFormat="1" ht="32.25" customHeight="1">
      <c r="A102" s="44"/>
      <c r="B102" s="121"/>
      <c r="C102" s="48"/>
      <c r="D102" s="151" t="s">
        <v>914</v>
      </c>
      <c r="E102" s="156">
        <f>F102</f>
        <v>33346233</v>
      </c>
      <c r="F102" s="152">
        <f>SUM(G102:K102)</f>
        <v>33346233</v>
      </c>
      <c r="G102" s="152"/>
      <c r="H102" s="152"/>
      <c r="I102" s="152"/>
      <c r="J102" s="152"/>
      <c r="K102" s="152">
        <v>33346233</v>
      </c>
      <c r="L102" s="152"/>
      <c r="M102" s="147">
        <f>SUM(O102,T102)</f>
        <v>0</v>
      </c>
      <c r="N102" s="152"/>
      <c r="O102" s="152"/>
      <c r="P102" s="152"/>
      <c r="Q102" s="152"/>
      <c r="R102" s="152"/>
      <c r="S102" s="152"/>
      <c r="T102" s="152"/>
      <c r="U102" s="153"/>
      <c r="V102" s="156">
        <f t="shared" si="38"/>
        <v>33346233</v>
      </c>
    </row>
    <row r="103" spans="1:22" s="154" customFormat="1" ht="92.25" customHeight="1">
      <c r="A103" s="47"/>
      <c r="B103" s="121"/>
      <c r="C103" s="48"/>
      <c r="D103" s="151" t="s">
        <v>240</v>
      </c>
      <c r="E103" s="156">
        <f t="shared" si="40"/>
        <v>3102124</v>
      </c>
      <c r="F103" s="149">
        <f t="shared" si="41"/>
        <v>3102124</v>
      </c>
      <c r="G103" s="152"/>
      <c r="H103" s="152"/>
      <c r="I103" s="152"/>
      <c r="J103" s="152"/>
      <c r="K103" s="152">
        <v>3102124</v>
      </c>
      <c r="L103" s="152"/>
      <c r="M103" s="156"/>
      <c r="N103" s="162"/>
      <c r="O103" s="152"/>
      <c r="P103" s="152"/>
      <c r="Q103" s="152"/>
      <c r="R103" s="152"/>
      <c r="S103" s="152"/>
      <c r="T103" s="152"/>
      <c r="U103" s="162"/>
      <c r="V103" s="156">
        <f t="shared" si="38"/>
        <v>3102124</v>
      </c>
    </row>
    <row r="104" spans="1:22" s="154" customFormat="1" ht="69" customHeight="1">
      <c r="A104" s="47"/>
      <c r="B104" s="121"/>
      <c r="C104" s="48"/>
      <c r="D104" s="151" t="s">
        <v>928</v>
      </c>
      <c r="E104" s="156">
        <f t="shared" si="40"/>
        <v>3480500</v>
      </c>
      <c r="F104" s="149">
        <f t="shared" si="41"/>
        <v>3480500</v>
      </c>
      <c r="G104" s="152"/>
      <c r="H104" s="152"/>
      <c r="I104" s="152"/>
      <c r="J104" s="152"/>
      <c r="K104" s="152">
        <f>2500000+980500</f>
        <v>3480500</v>
      </c>
      <c r="L104" s="152"/>
      <c r="M104" s="156"/>
      <c r="N104" s="162"/>
      <c r="O104" s="152"/>
      <c r="P104" s="152"/>
      <c r="Q104" s="152"/>
      <c r="R104" s="152"/>
      <c r="S104" s="152"/>
      <c r="T104" s="152"/>
      <c r="U104" s="162"/>
      <c r="V104" s="156">
        <f t="shared" si="38"/>
        <v>3480500</v>
      </c>
    </row>
    <row r="105" spans="1:22" s="154" customFormat="1" ht="45" customHeight="1">
      <c r="A105" s="47"/>
      <c r="B105" s="121"/>
      <c r="C105" s="48"/>
      <c r="D105" s="151" t="s">
        <v>262</v>
      </c>
      <c r="E105" s="156">
        <f t="shared" si="40"/>
        <v>3000000</v>
      </c>
      <c r="F105" s="149">
        <f t="shared" si="41"/>
        <v>3000000</v>
      </c>
      <c r="G105" s="152"/>
      <c r="H105" s="152"/>
      <c r="I105" s="152"/>
      <c r="J105" s="152"/>
      <c r="K105" s="152">
        <v>3000000</v>
      </c>
      <c r="L105" s="152"/>
      <c r="M105" s="156"/>
      <c r="N105" s="162"/>
      <c r="O105" s="152"/>
      <c r="P105" s="152"/>
      <c r="Q105" s="152"/>
      <c r="R105" s="152"/>
      <c r="S105" s="152"/>
      <c r="T105" s="152"/>
      <c r="U105" s="162"/>
      <c r="V105" s="156">
        <f t="shared" si="38"/>
        <v>3000000</v>
      </c>
    </row>
    <row r="106" spans="1:22" s="154" customFormat="1" ht="15.75">
      <c r="A106" s="47"/>
      <c r="B106" s="121"/>
      <c r="C106" s="48"/>
      <c r="D106" s="151" t="s">
        <v>270</v>
      </c>
      <c r="E106" s="156">
        <f t="shared" si="40"/>
        <v>5066988.96</v>
      </c>
      <c r="F106" s="149">
        <f t="shared" si="41"/>
        <v>5066988.96</v>
      </c>
      <c r="G106" s="152"/>
      <c r="H106" s="152"/>
      <c r="I106" s="152"/>
      <c r="J106" s="152"/>
      <c r="K106" s="152">
        <v>5066988.96</v>
      </c>
      <c r="L106" s="152"/>
      <c r="M106" s="156"/>
      <c r="N106" s="162"/>
      <c r="O106" s="152"/>
      <c r="P106" s="152"/>
      <c r="Q106" s="152"/>
      <c r="R106" s="152"/>
      <c r="S106" s="152"/>
      <c r="T106" s="152"/>
      <c r="U106" s="162"/>
      <c r="V106" s="156">
        <f t="shared" si="38"/>
        <v>5066988.96</v>
      </c>
    </row>
    <row r="107" spans="1:22" ht="34.5" customHeight="1">
      <c r="A107" s="44" t="s">
        <v>795</v>
      </c>
      <c r="B107" s="101">
        <v>2030</v>
      </c>
      <c r="C107" s="109" t="s">
        <v>903</v>
      </c>
      <c r="D107" s="46" t="s">
        <v>544</v>
      </c>
      <c r="E107" s="156">
        <f t="shared" si="40"/>
        <v>41668881.43</v>
      </c>
      <c r="F107" s="149">
        <f t="shared" si="41"/>
        <v>41668881.43</v>
      </c>
      <c r="G107" s="152"/>
      <c r="H107" s="149"/>
      <c r="I107" s="149"/>
      <c r="J107" s="149"/>
      <c r="K107" s="149">
        <f>40866581-1456737.61+505163.04+1753875</f>
        <v>41668881.43</v>
      </c>
      <c r="L107" s="149"/>
      <c r="M107" s="147">
        <f>SUM(O107,T107)</f>
        <v>0</v>
      </c>
      <c r="N107" s="149"/>
      <c r="O107" s="149"/>
      <c r="P107" s="149"/>
      <c r="Q107" s="149"/>
      <c r="R107" s="149"/>
      <c r="S107" s="149"/>
      <c r="T107" s="149"/>
      <c r="U107" s="99"/>
      <c r="V107" s="147">
        <f t="shared" si="38"/>
        <v>41668881.43</v>
      </c>
    </row>
    <row r="108" spans="1:22" ht="42.75" customHeight="1" hidden="1">
      <c r="A108" s="44"/>
      <c r="B108" s="101"/>
      <c r="C108" s="109"/>
      <c r="D108" s="46" t="s">
        <v>200</v>
      </c>
      <c r="E108" s="156">
        <f t="shared" si="40"/>
        <v>0</v>
      </c>
      <c r="F108" s="149">
        <f t="shared" si="41"/>
        <v>0</v>
      </c>
      <c r="G108" s="152"/>
      <c r="H108" s="149"/>
      <c r="I108" s="149"/>
      <c r="J108" s="149"/>
      <c r="K108" s="149"/>
      <c r="L108" s="149"/>
      <c r="M108" s="147"/>
      <c r="N108" s="149"/>
      <c r="O108" s="149"/>
      <c r="P108" s="149"/>
      <c r="Q108" s="149"/>
      <c r="R108" s="149"/>
      <c r="S108" s="149"/>
      <c r="T108" s="149"/>
      <c r="U108" s="99"/>
      <c r="V108" s="147">
        <f t="shared" si="38"/>
        <v>0</v>
      </c>
    </row>
    <row r="109" spans="1:22" s="154" customFormat="1" ht="35.25" customHeight="1">
      <c r="A109" s="44"/>
      <c r="B109" s="121"/>
      <c r="C109" s="48"/>
      <c r="D109" s="151" t="s">
        <v>914</v>
      </c>
      <c r="E109" s="156">
        <f t="shared" si="40"/>
        <v>8295276</v>
      </c>
      <c r="F109" s="149">
        <f t="shared" si="41"/>
        <v>8295276</v>
      </c>
      <c r="G109" s="152"/>
      <c r="H109" s="152"/>
      <c r="I109" s="152"/>
      <c r="J109" s="152"/>
      <c r="K109" s="152">
        <v>8295276</v>
      </c>
      <c r="L109" s="152"/>
      <c r="M109" s="156"/>
      <c r="N109" s="152"/>
      <c r="O109" s="152"/>
      <c r="P109" s="152"/>
      <c r="Q109" s="152"/>
      <c r="R109" s="152"/>
      <c r="S109" s="152"/>
      <c r="T109" s="152"/>
      <c r="U109" s="152"/>
      <c r="V109" s="147">
        <f t="shared" si="38"/>
        <v>8295276</v>
      </c>
    </row>
    <row r="110" spans="1:22" s="154" customFormat="1" ht="15.75">
      <c r="A110" s="44"/>
      <c r="B110" s="121"/>
      <c r="C110" s="48"/>
      <c r="D110" s="151" t="s">
        <v>270</v>
      </c>
      <c r="E110" s="156">
        <f t="shared" si="40"/>
        <v>505163.04</v>
      </c>
      <c r="F110" s="149">
        <f t="shared" si="41"/>
        <v>505163.04</v>
      </c>
      <c r="G110" s="152"/>
      <c r="H110" s="152"/>
      <c r="I110" s="152"/>
      <c r="J110" s="152"/>
      <c r="K110" s="152">
        <v>505163.04</v>
      </c>
      <c r="L110" s="152"/>
      <c r="M110" s="156"/>
      <c r="N110" s="152"/>
      <c r="O110" s="152"/>
      <c r="P110" s="152"/>
      <c r="Q110" s="152"/>
      <c r="R110" s="152"/>
      <c r="S110" s="152"/>
      <c r="T110" s="152"/>
      <c r="U110" s="152"/>
      <c r="V110" s="147">
        <f t="shared" si="38"/>
        <v>505163.04</v>
      </c>
    </row>
    <row r="111" spans="1:22" ht="46.5" customHeight="1">
      <c r="A111" s="44" t="s">
        <v>796</v>
      </c>
      <c r="B111" s="101">
        <v>2080</v>
      </c>
      <c r="C111" s="109" t="s">
        <v>906</v>
      </c>
      <c r="D111" s="46" t="s">
        <v>762</v>
      </c>
      <c r="E111" s="156">
        <f t="shared" si="40"/>
        <v>59760801.6</v>
      </c>
      <c r="F111" s="149">
        <f t="shared" si="41"/>
        <v>59760801.6</v>
      </c>
      <c r="G111" s="162"/>
      <c r="H111" s="149"/>
      <c r="I111" s="149"/>
      <c r="J111" s="149"/>
      <c r="K111" s="149">
        <f>50939828+9924850-1103876.4</f>
        <v>59760801.6</v>
      </c>
      <c r="L111" s="149"/>
      <c r="M111" s="147">
        <f>SUM(O111,T111)</f>
        <v>0</v>
      </c>
      <c r="N111" s="99"/>
      <c r="O111" s="149"/>
      <c r="P111" s="149"/>
      <c r="Q111" s="149"/>
      <c r="R111" s="149"/>
      <c r="S111" s="149"/>
      <c r="T111" s="149"/>
      <c r="U111" s="99"/>
      <c r="V111" s="147">
        <f t="shared" si="38"/>
        <v>59760801.6</v>
      </c>
    </row>
    <row r="112" spans="1:22" ht="53.25" customHeight="1" hidden="1">
      <c r="A112" s="44"/>
      <c r="B112" s="101"/>
      <c r="C112" s="109"/>
      <c r="D112" s="46" t="s">
        <v>200</v>
      </c>
      <c r="E112" s="156">
        <f t="shared" si="40"/>
        <v>0</v>
      </c>
      <c r="F112" s="149">
        <f>K112</f>
        <v>0</v>
      </c>
      <c r="G112" s="162"/>
      <c r="H112" s="149"/>
      <c r="I112" s="149"/>
      <c r="J112" s="149"/>
      <c r="K112" s="149"/>
      <c r="L112" s="149"/>
      <c r="M112" s="147"/>
      <c r="N112" s="99"/>
      <c r="O112" s="149"/>
      <c r="P112" s="149"/>
      <c r="Q112" s="149"/>
      <c r="R112" s="149"/>
      <c r="S112" s="149"/>
      <c r="T112" s="149"/>
      <c r="U112" s="99"/>
      <c r="V112" s="147">
        <f t="shared" si="38"/>
        <v>0</v>
      </c>
    </row>
    <row r="113" spans="1:22" s="154" customFormat="1" ht="28.5">
      <c r="A113" s="44"/>
      <c r="B113" s="121"/>
      <c r="C113" s="48"/>
      <c r="D113" s="151" t="s">
        <v>914</v>
      </c>
      <c r="E113" s="156">
        <f t="shared" si="40"/>
        <v>10452064</v>
      </c>
      <c r="F113" s="152">
        <f t="shared" si="41"/>
        <v>10452064</v>
      </c>
      <c r="G113" s="162"/>
      <c r="H113" s="162"/>
      <c r="I113" s="152"/>
      <c r="J113" s="152"/>
      <c r="K113" s="152">
        <v>10452064</v>
      </c>
      <c r="L113" s="152"/>
      <c r="M113" s="147"/>
      <c r="N113" s="152"/>
      <c r="O113" s="152"/>
      <c r="P113" s="152"/>
      <c r="Q113" s="152"/>
      <c r="R113" s="152"/>
      <c r="S113" s="152"/>
      <c r="T113" s="152"/>
      <c r="U113" s="153"/>
      <c r="V113" s="147">
        <f t="shared" si="38"/>
        <v>10452064</v>
      </c>
    </row>
    <row r="114" spans="1:22" ht="15.75">
      <c r="A114" s="44" t="s">
        <v>798</v>
      </c>
      <c r="B114" s="101">
        <v>2100</v>
      </c>
      <c r="C114" s="109" t="s">
        <v>907</v>
      </c>
      <c r="D114" s="46" t="s">
        <v>797</v>
      </c>
      <c r="E114" s="156">
        <f t="shared" si="40"/>
        <v>9603966.64</v>
      </c>
      <c r="F114" s="149">
        <f t="shared" si="41"/>
        <v>9603966.64</v>
      </c>
      <c r="G114" s="152"/>
      <c r="H114" s="149"/>
      <c r="I114" s="149"/>
      <c r="J114" s="149"/>
      <c r="K114" s="149">
        <f>12950640+1000000-4346673.36</f>
        <v>9603966.64</v>
      </c>
      <c r="L114" s="149"/>
      <c r="M114" s="147">
        <f>SUM(O114,T114)</f>
        <v>0</v>
      </c>
      <c r="N114" s="149"/>
      <c r="O114" s="149"/>
      <c r="P114" s="149"/>
      <c r="Q114" s="149"/>
      <c r="R114" s="149"/>
      <c r="S114" s="149"/>
      <c r="T114" s="149"/>
      <c r="U114" s="149"/>
      <c r="V114" s="147">
        <f t="shared" si="38"/>
        <v>9603966.64</v>
      </c>
    </row>
    <row r="115" spans="1:22" ht="47.25" customHeight="1" hidden="1">
      <c r="A115" s="44"/>
      <c r="B115" s="101"/>
      <c r="C115" s="109"/>
      <c r="D115" s="46" t="s">
        <v>200</v>
      </c>
      <c r="E115" s="156">
        <f t="shared" si="40"/>
        <v>0</v>
      </c>
      <c r="F115" s="149">
        <f>K115</f>
        <v>0</v>
      </c>
      <c r="G115" s="152"/>
      <c r="H115" s="149"/>
      <c r="I115" s="149"/>
      <c r="J115" s="149"/>
      <c r="K115" s="149"/>
      <c r="L115" s="149"/>
      <c r="M115" s="147"/>
      <c r="N115" s="149"/>
      <c r="O115" s="149"/>
      <c r="P115" s="149"/>
      <c r="Q115" s="149"/>
      <c r="R115" s="149"/>
      <c r="S115" s="149"/>
      <c r="T115" s="149"/>
      <c r="U115" s="149"/>
      <c r="V115" s="147">
        <f t="shared" si="38"/>
        <v>0</v>
      </c>
    </row>
    <row r="116" spans="1:22" s="154" customFormat="1" ht="28.5">
      <c r="A116" s="44"/>
      <c r="B116" s="121"/>
      <c r="C116" s="48"/>
      <c r="D116" s="151" t="s">
        <v>914</v>
      </c>
      <c r="E116" s="156">
        <f t="shared" si="40"/>
        <v>3037027</v>
      </c>
      <c r="F116" s="149">
        <f t="shared" si="41"/>
        <v>3037027</v>
      </c>
      <c r="G116" s="152"/>
      <c r="H116" s="152"/>
      <c r="I116" s="152"/>
      <c r="J116" s="152"/>
      <c r="K116" s="152">
        <v>3037027</v>
      </c>
      <c r="L116" s="152"/>
      <c r="M116" s="156"/>
      <c r="N116" s="152"/>
      <c r="O116" s="152"/>
      <c r="P116" s="152"/>
      <c r="Q116" s="152"/>
      <c r="R116" s="152"/>
      <c r="S116" s="152"/>
      <c r="T116" s="152"/>
      <c r="U116" s="152"/>
      <c r="V116" s="147">
        <f t="shared" si="38"/>
        <v>3037027</v>
      </c>
    </row>
    <row r="117" spans="1:22" s="154" customFormat="1" ht="48.75" customHeight="1">
      <c r="A117" s="44" t="s">
        <v>594</v>
      </c>
      <c r="B117" s="101">
        <v>2111</v>
      </c>
      <c r="C117" s="109" t="s">
        <v>595</v>
      </c>
      <c r="D117" s="168" t="s">
        <v>593</v>
      </c>
      <c r="E117" s="156">
        <f t="shared" si="40"/>
        <v>11220248</v>
      </c>
      <c r="F117" s="149">
        <f t="shared" si="41"/>
        <v>11220248</v>
      </c>
      <c r="G117" s="152"/>
      <c r="H117" s="152"/>
      <c r="I117" s="152"/>
      <c r="J117" s="152"/>
      <c r="K117" s="149">
        <v>11220248</v>
      </c>
      <c r="L117" s="152"/>
      <c r="M117" s="156">
        <f aca="true" t="shared" si="45" ref="M117:M125">O117+T117</f>
        <v>0</v>
      </c>
      <c r="N117" s="149"/>
      <c r="O117" s="152"/>
      <c r="P117" s="152"/>
      <c r="Q117" s="152"/>
      <c r="R117" s="152"/>
      <c r="S117" s="152"/>
      <c r="T117" s="149"/>
      <c r="U117" s="152"/>
      <c r="V117" s="147">
        <f t="shared" si="38"/>
        <v>11220248</v>
      </c>
    </row>
    <row r="118" spans="1:22" s="154" customFormat="1" ht="28.5" hidden="1">
      <c r="A118" s="44"/>
      <c r="B118" s="121"/>
      <c r="C118" s="109"/>
      <c r="D118" s="151" t="s">
        <v>914</v>
      </c>
      <c r="E118" s="156">
        <f t="shared" si="40"/>
        <v>0</v>
      </c>
      <c r="F118" s="149">
        <f t="shared" si="41"/>
        <v>0</v>
      </c>
      <c r="G118" s="152"/>
      <c r="H118" s="152"/>
      <c r="I118" s="152"/>
      <c r="J118" s="152"/>
      <c r="K118" s="149"/>
      <c r="L118" s="152"/>
      <c r="M118" s="156">
        <f t="shared" si="45"/>
        <v>0</v>
      </c>
      <c r="N118" s="152"/>
      <c r="O118" s="152"/>
      <c r="P118" s="152"/>
      <c r="Q118" s="152"/>
      <c r="R118" s="152"/>
      <c r="S118" s="152"/>
      <c r="T118" s="152"/>
      <c r="U118" s="152"/>
      <c r="V118" s="147">
        <f t="shared" si="38"/>
        <v>0</v>
      </c>
    </row>
    <row r="119" spans="1:22" s="154" customFormat="1" ht="27" hidden="1">
      <c r="A119" s="44" t="s">
        <v>314</v>
      </c>
      <c r="B119" s="121">
        <v>2140</v>
      </c>
      <c r="C119" s="48"/>
      <c r="D119" s="168" t="s">
        <v>309</v>
      </c>
      <c r="E119" s="156">
        <f>E120+E124</f>
        <v>16370989.850000001</v>
      </c>
      <c r="F119" s="149">
        <f>F120+F124</f>
        <v>16370989.850000001</v>
      </c>
      <c r="G119" s="152"/>
      <c r="H119" s="152"/>
      <c r="I119" s="152"/>
      <c r="J119" s="152"/>
      <c r="K119" s="152">
        <f>K120+K124</f>
        <v>16370989.850000001</v>
      </c>
      <c r="L119" s="152"/>
      <c r="M119" s="156">
        <f t="shared" si="45"/>
        <v>0</v>
      </c>
      <c r="N119" s="152"/>
      <c r="O119" s="152"/>
      <c r="P119" s="152"/>
      <c r="Q119" s="152"/>
      <c r="R119" s="152"/>
      <c r="S119" s="152"/>
      <c r="T119" s="152"/>
      <c r="U119" s="152"/>
      <c r="V119" s="147">
        <f t="shared" si="38"/>
        <v>16370989.850000001</v>
      </c>
    </row>
    <row r="120" spans="1:22" s="154" customFormat="1" ht="36" customHeight="1">
      <c r="A120" s="44" t="s">
        <v>315</v>
      </c>
      <c r="B120" s="121">
        <v>2144</v>
      </c>
      <c r="C120" s="48" t="s">
        <v>333</v>
      </c>
      <c r="D120" s="151" t="s">
        <v>312</v>
      </c>
      <c r="E120" s="156">
        <f aca="true" t="shared" si="46" ref="E120:E125">F120</f>
        <v>16370989.850000001</v>
      </c>
      <c r="F120" s="149">
        <f aca="true" t="shared" si="47" ref="F120:F125">SUM(G120:K120)</f>
        <v>16370989.850000001</v>
      </c>
      <c r="G120" s="152"/>
      <c r="H120" s="152"/>
      <c r="I120" s="152"/>
      <c r="J120" s="152"/>
      <c r="K120" s="149">
        <f>2173320+31644.24+6543651.61+767517+6854857</f>
        <v>16370989.850000001</v>
      </c>
      <c r="L120" s="152"/>
      <c r="M120" s="156">
        <f t="shared" si="45"/>
        <v>0</v>
      </c>
      <c r="N120" s="152"/>
      <c r="O120" s="152"/>
      <c r="P120" s="152"/>
      <c r="Q120" s="152"/>
      <c r="R120" s="152"/>
      <c r="S120" s="152"/>
      <c r="T120" s="152"/>
      <c r="U120" s="152"/>
      <c r="V120" s="147">
        <f t="shared" si="38"/>
        <v>16370989.850000001</v>
      </c>
    </row>
    <row r="121" spans="1:22" s="154" customFormat="1" ht="63.75" customHeight="1">
      <c r="A121" s="47"/>
      <c r="B121" s="121"/>
      <c r="C121" s="48"/>
      <c r="D121" s="151" t="s">
        <v>242</v>
      </c>
      <c r="E121" s="156">
        <f t="shared" si="46"/>
        <v>2173320</v>
      </c>
      <c r="F121" s="152">
        <f t="shared" si="47"/>
        <v>2173320</v>
      </c>
      <c r="G121" s="152"/>
      <c r="H121" s="152"/>
      <c r="I121" s="152"/>
      <c r="J121" s="152"/>
      <c r="K121" s="152">
        <v>2173320</v>
      </c>
      <c r="L121" s="152"/>
      <c r="M121" s="156">
        <f t="shared" si="45"/>
        <v>0</v>
      </c>
      <c r="N121" s="152"/>
      <c r="O121" s="152"/>
      <c r="P121" s="152"/>
      <c r="Q121" s="152"/>
      <c r="R121" s="152"/>
      <c r="S121" s="152"/>
      <c r="T121" s="152"/>
      <c r="U121" s="152"/>
      <c r="V121" s="156">
        <f t="shared" si="38"/>
        <v>2173320</v>
      </c>
    </row>
    <row r="122" spans="1:22" s="154" customFormat="1" ht="63.75" customHeight="1">
      <c r="A122" s="47"/>
      <c r="B122" s="121"/>
      <c r="C122" s="48"/>
      <c r="D122" s="151" t="s">
        <v>928</v>
      </c>
      <c r="E122" s="156">
        <f t="shared" si="46"/>
        <v>6854857</v>
      </c>
      <c r="F122" s="152">
        <f t="shared" si="47"/>
        <v>6854857</v>
      </c>
      <c r="G122" s="152"/>
      <c r="H122" s="152"/>
      <c r="I122" s="152"/>
      <c r="J122" s="152"/>
      <c r="K122" s="152">
        <v>6854857</v>
      </c>
      <c r="L122" s="152"/>
      <c r="M122" s="156"/>
      <c r="N122" s="152"/>
      <c r="O122" s="152"/>
      <c r="P122" s="152"/>
      <c r="Q122" s="152"/>
      <c r="R122" s="152"/>
      <c r="S122" s="152"/>
      <c r="T122" s="152"/>
      <c r="U122" s="152"/>
      <c r="V122" s="156">
        <f t="shared" si="38"/>
        <v>6854857</v>
      </c>
    </row>
    <row r="123" spans="1:22" s="154" customFormat="1" ht="63.75" customHeight="1">
      <c r="A123" s="47"/>
      <c r="B123" s="121"/>
      <c r="C123" s="48"/>
      <c r="D123" s="151" t="s">
        <v>915</v>
      </c>
      <c r="E123" s="156">
        <f t="shared" si="46"/>
        <v>767517</v>
      </c>
      <c r="F123" s="152">
        <f t="shared" si="47"/>
        <v>767517</v>
      </c>
      <c r="G123" s="152"/>
      <c r="H123" s="152"/>
      <c r="I123" s="152"/>
      <c r="J123" s="152"/>
      <c r="K123" s="152">
        <v>767517</v>
      </c>
      <c r="L123" s="152"/>
      <c r="M123" s="156"/>
      <c r="N123" s="152"/>
      <c r="O123" s="152"/>
      <c r="P123" s="152"/>
      <c r="Q123" s="152"/>
      <c r="R123" s="152"/>
      <c r="S123" s="152"/>
      <c r="T123" s="152"/>
      <c r="U123" s="152"/>
      <c r="V123" s="156">
        <f t="shared" si="38"/>
        <v>767517</v>
      </c>
    </row>
    <row r="124" spans="1:22" s="154" customFormat="1" ht="36" customHeight="1" hidden="1">
      <c r="A124" s="44" t="s">
        <v>308</v>
      </c>
      <c r="B124" s="121">
        <v>2146</v>
      </c>
      <c r="C124" s="48" t="s">
        <v>333</v>
      </c>
      <c r="D124" s="151" t="s">
        <v>311</v>
      </c>
      <c r="E124" s="156">
        <f t="shared" si="46"/>
        <v>0</v>
      </c>
      <c r="F124" s="149">
        <f t="shared" si="47"/>
        <v>0</v>
      </c>
      <c r="G124" s="152"/>
      <c r="H124" s="152"/>
      <c r="I124" s="152"/>
      <c r="J124" s="152"/>
      <c r="K124" s="152"/>
      <c r="L124" s="152"/>
      <c r="M124" s="156">
        <f t="shared" si="45"/>
        <v>0</v>
      </c>
      <c r="N124" s="152"/>
      <c r="O124" s="152"/>
      <c r="P124" s="152"/>
      <c r="Q124" s="152"/>
      <c r="R124" s="152"/>
      <c r="S124" s="152"/>
      <c r="T124" s="152"/>
      <c r="U124" s="152"/>
      <c r="V124" s="147">
        <f t="shared" si="38"/>
        <v>0</v>
      </c>
    </row>
    <row r="125" spans="1:22" s="154" customFormat="1" ht="48.75" customHeight="1" hidden="1">
      <c r="A125" s="44"/>
      <c r="B125" s="121"/>
      <c r="C125" s="48"/>
      <c r="D125" s="151" t="s">
        <v>313</v>
      </c>
      <c r="E125" s="156">
        <f t="shared" si="46"/>
        <v>0</v>
      </c>
      <c r="F125" s="149">
        <f t="shared" si="47"/>
        <v>0</v>
      </c>
      <c r="G125" s="152"/>
      <c r="H125" s="152"/>
      <c r="I125" s="152"/>
      <c r="J125" s="152"/>
      <c r="K125" s="152"/>
      <c r="L125" s="152"/>
      <c r="M125" s="156">
        <f t="shared" si="45"/>
        <v>0</v>
      </c>
      <c r="N125" s="152"/>
      <c r="O125" s="152"/>
      <c r="P125" s="152"/>
      <c r="Q125" s="152"/>
      <c r="R125" s="152"/>
      <c r="S125" s="152"/>
      <c r="T125" s="152"/>
      <c r="U125" s="152"/>
      <c r="V125" s="147">
        <f t="shared" si="38"/>
        <v>0</v>
      </c>
    </row>
    <row r="126" spans="1:22" ht="30" customHeight="1">
      <c r="A126" s="44" t="s">
        <v>799</v>
      </c>
      <c r="B126" s="101">
        <v>2150</v>
      </c>
      <c r="C126" s="109"/>
      <c r="D126" s="46" t="s">
        <v>310</v>
      </c>
      <c r="E126" s="156">
        <f t="shared" si="40"/>
        <v>15936427.86</v>
      </c>
      <c r="F126" s="149">
        <f t="shared" si="41"/>
        <v>15936427.86</v>
      </c>
      <c r="G126" s="152"/>
      <c r="H126" s="149"/>
      <c r="I126" s="149"/>
      <c r="J126" s="149"/>
      <c r="K126" s="149">
        <f>K127+K129</f>
        <v>15936427.86</v>
      </c>
      <c r="L126" s="149"/>
      <c r="M126" s="147">
        <f>T126</f>
        <v>0</v>
      </c>
      <c r="N126" s="149">
        <f>N127</f>
        <v>0</v>
      </c>
      <c r="O126" s="149"/>
      <c r="P126" s="149"/>
      <c r="Q126" s="149"/>
      <c r="R126" s="149"/>
      <c r="S126" s="149"/>
      <c r="T126" s="149">
        <f>T127</f>
        <v>0</v>
      </c>
      <c r="U126" s="149"/>
      <c r="V126" s="147">
        <f t="shared" si="38"/>
        <v>15936427.86</v>
      </c>
    </row>
    <row r="127" spans="1:22" ht="30" customHeight="1">
      <c r="A127" s="44" t="s">
        <v>753</v>
      </c>
      <c r="B127" s="101">
        <v>2151</v>
      </c>
      <c r="C127" s="109" t="s">
        <v>333</v>
      </c>
      <c r="D127" s="46" t="s">
        <v>754</v>
      </c>
      <c r="E127" s="156">
        <f t="shared" si="40"/>
        <v>1000000</v>
      </c>
      <c r="F127" s="149">
        <f t="shared" si="41"/>
        <v>1000000</v>
      </c>
      <c r="G127" s="152"/>
      <c r="H127" s="149"/>
      <c r="I127" s="149"/>
      <c r="J127" s="149"/>
      <c r="K127" s="149">
        <f>1932097-932097</f>
        <v>1000000</v>
      </c>
      <c r="L127" s="149"/>
      <c r="M127" s="147">
        <f>T127</f>
        <v>0</v>
      </c>
      <c r="N127" s="149"/>
      <c r="O127" s="149"/>
      <c r="P127" s="149"/>
      <c r="Q127" s="149"/>
      <c r="R127" s="149"/>
      <c r="S127" s="149"/>
      <c r="T127" s="149"/>
      <c r="U127" s="149"/>
      <c r="V127" s="147">
        <f t="shared" si="38"/>
        <v>1000000</v>
      </c>
    </row>
    <row r="128" spans="1:22" ht="30" customHeight="1">
      <c r="A128" s="44"/>
      <c r="B128" s="101"/>
      <c r="C128" s="109"/>
      <c r="D128" s="151" t="s">
        <v>914</v>
      </c>
      <c r="E128" s="156">
        <f t="shared" si="40"/>
        <v>123000</v>
      </c>
      <c r="F128" s="152">
        <f t="shared" si="41"/>
        <v>123000</v>
      </c>
      <c r="G128" s="152"/>
      <c r="H128" s="149"/>
      <c r="I128" s="149"/>
      <c r="J128" s="149"/>
      <c r="K128" s="152">
        <v>123000</v>
      </c>
      <c r="L128" s="149"/>
      <c r="M128" s="147"/>
      <c r="N128" s="149"/>
      <c r="O128" s="149"/>
      <c r="P128" s="149"/>
      <c r="Q128" s="149"/>
      <c r="R128" s="149"/>
      <c r="S128" s="149"/>
      <c r="T128" s="149"/>
      <c r="U128" s="149"/>
      <c r="V128" s="147">
        <f t="shared" si="38"/>
        <v>123000</v>
      </c>
    </row>
    <row r="129" spans="1:22" ht="30" customHeight="1">
      <c r="A129" s="44" t="s">
        <v>756</v>
      </c>
      <c r="B129" s="101">
        <v>2152</v>
      </c>
      <c r="C129" s="109" t="s">
        <v>333</v>
      </c>
      <c r="D129" s="46" t="s">
        <v>755</v>
      </c>
      <c r="E129" s="156">
        <f>F129</f>
        <v>14936427.86</v>
      </c>
      <c r="F129" s="149">
        <f>SUM(G129:K129)</f>
        <v>14936427.86</v>
      </c>
      <c r="G129" s="152"/>
      <c r="H129" s="149"/>
      <c r="I129" s="149"/>
      <c r="J129" s="149"/>
      <c r="K129" s="149">
        <f>1059364+4729400+35086+3695100-1199509.7+1166437.8+5450549.76</f>
        <v>14936427.86</v>
      </c>
      <c r="L129" s="149"/>
      <c r="M129" s="147"/>
      <c r="N129" s="149"/>
      <c r="O129" s="149"/>
      <c r="P129" s="149"/>
      <c r="Q129" s="149"/>
      <c r="R129" s="149"/>
      <c r="S129" s="149"/>
      <c r="T129" s="149"/>
      <c r="U129" s="149"/>
      <c r="V129" s="147">
        <f t="shared" si="38"/>
        <v>14936427.86</v>
      </c>
    </row>
    <row r="130" spans="1:22" s="154" customFormat="1" ht="28.5" hidden="1">
      <c r="A130" s="44"/>
      <c r="B130" s="121"/>
      <c r="C130" s="48"/>
      <c r="D130" s="151" t="s">
        <v>914</v>
      </c>
      <c r="E130" s="156">
        <f t="shared" si="40"/>
        <v>0</v>
      </c>
      <c r="F130" s="149">
        <f t="shared" si="41"/>
        <v>0</v>
      </c>
      <c r="G130" s="152"/>
      <c r="H130" s="152"/>
      <c r="I130" s="152"/>
      <c r="J130" s="152"/>
      <c r="K130" s="152"/>
      <c r="L130" s="152"/>
      <c r="M130" s="156"/>
      <c r="N130" s="153"/>
      <c r="O130" s="152"/>
      <c r="P130" s="152"/>
      <c r="Q130" s="152"/>
      <c r="R130" s="152"/>
      <c r="S130" s="152"/>
      <c r="T130" s="152"/>
      <c r="U130" s="153"/>
      <c r="V130" s="147">
        <f t="shared" si="38"/>
        <v>0</v>
      </c>
    </row>
    <row r="131" spans="1:22" s="154" customFormat="1" ht="15.75">
      <c r="A131" s="44"/>
      <c r="B131" s="121"/>
      <c r="C131" s="48"/>
      <c r="D131" s="151" t="s">
        <v>302</v>
      </c>
      <c r="E131" s="156">
        <f t="shared" si="40"/>
        <v>4764486</v>
      </c>
      <c r="F131" s="149">
        <f t="shared" si="41"/>
        <v>4764486</v>
      </c>
      <c r="G131" s="152"/>
      <c r="H131" s="152"/>
      <c r="I131" s="152"/>
      <c r="J131" s="152"/>
      <c r="K131" s="152">
        <f>35086+4729400</f>
        <v>4764486</v>
      </c>
      <c r="L131" s="152"/>
      <c r="M131" s="156"/>
      <c r="N131" s="153"/>
      <c r="O131" s="152"/>
      <c r="P131" s="152"/>
      <c r="Q131" s="152"/>
      <c r="R131" s="152"/>
      <c r="S131" s="152"/>
      <c r="T131" s="152"/>
      <c r="U131" s="153"/>
      <c r="V131" s="147">
        <f t="shared" si="38"/>
        <v>4764486</v>
      </c>
    </row>
    <row r="132" spans="1:22" s="154" customFormat="1" ht="41.25" hidden="1">
      <c r="A132" s="44"/>
      <c r="B132" s="121"/>
      <c r="C132" s="48"/>
      <c r="D132" s="151" t="s">
        <v>83</v>
      </c>
      <c r="E132" s="156">
        <f t="shared" si="40"/>
        <v>0</v>
      </c>
      <c r="F132" s="149">
        <f t="shared" si="41"/>
        <v>0</v>
      </c>
      <c r="G132" s="152"/>
      <c r="H132" s="152"/>
      <c r="I132" s="152"/>
      <c r="J132" s="152"/>
      <c r="K132" s="152"/>
      <c r="L132" s="152"/>
      <c r="M132" s="156"/>
      <c r="N132" s="153"/>
      <c r="O132" s="152"/>
      <c r="P132" s="152"/>
      <c r="Q132" s="152"/>
      <c r="R132" s="152"/>
      <c r="S132" s="152"/>
      <c r="T132" s="152"/>
      <c r="U132" s="153"/>
      <c r="V132" s="147">
        <f t="shared" si="38"/>
        <v>0</v>
      </c>
    </row>
    <row r="133" spans="1:22" s="154" customFormat="1" ht="54.75" hidden="1">
      <c r="A133" s="44"/>
      <c r="B133" s="121"/>
      <c r="C133" s="48"/>
      <c r="D133" s="151" t="s">
        <v>622</v>
      </c>
      <c r="E133" s="156">
        <f t="shared" si="40"/>
        <v>0</v>
      </c>
      <c r="F133" s="149">
        <f t="shared" si="41"/>
        <v>0</v>
      </c>
      <c r="G133" s="152"/>
      <c r="H133" s="152"/>
      <c r="I133" s="152"/>
      <c r="J133" s="152"/>
      <c r="K133" s="152"/>
      <c r="L133" s="152"/>
      <c r="M133" s="156"/>
      <c r="N133" s="153"/>
      <c r="O133" s="152"/>
      <c r="P133" s="152"/>
      <c r="Q133" s="152"/>
      <c r="R133" s="152"/>
      <c r="S133" s="152"/>
      <c r="T133" s="152"/>
      <c r="U133" s="153"/>
      <c r="V133" s="147">
        <f t="shared" si="38"/>
        <v>0</v>
      </c>
    </row>
    <row r="134" spans="1:22" ht="41.25">
      <c r="A134" s="44" t="s">
        <v>130</v>
      </c>
      <c r="B134" s="101">
        <v>3050</v>
      </c>
      <c r="C134" s="109" t="s">
        <v>820</v>
      </c>
      <c r="D134" s="186" t="s">
        <v>821</v>
      </c>
      <c r="E134" s="156">
        <f t="shared" si="40"/>
        <v>105680</v>
      </c>
      <c r="F134" s="149">
        <f t="shared" si="41"/>
        <v>105680</v>
      </c>
      <c r="G134" s="149"/>
      <c r="H134" s="149"/>
      <c r="I134" s="149"/>
      <c r="J134" s="149"/>
      <c r="K134" s="149">
        <v>105680</v>
      </c>
      <c r="L134" s="149"/>
      <c r="M134" s="147"/>
      <c r="N134" s="150"/>
      <c r="O134" s="149"/>
      <c r="P134" s="149"/>
      <c r="Q134" s="149"/>
      <c r="R134" s="149"/>
      <c r="S134" s="149"/>
      <c r="T134" s="149"/>
      <c r="U134" s="150"/>
      <c r="V134" s="147">
        <f t="shared" si="38"/>
        <v>105680</v>
      </c>
    </row>
    <row r="135" spans="1:22" s="154" customFormat="1" ht="15.75">
      <c r="A135" s="44"/>
      <c r="B135" s="121"/>
      <c r="C135" s="48"/>
      <c r="D135" s="157" t="s">
        <v>302</v>
      </c>
      <c r="E135" s="156">
        <f t="shared" si="40"/>
        <v>105680</v>
      </c>
      <c r="F135" s="152">
        <f t="shared" si="41"/>
        <v>105680</v>
      </c>
      <c r="G135" s="152"/>
      <c r="H135" s="152"/>
      <c r="I135" s="152"/>
      <c r="J135" s="152"/>
      <c r="K135" s="152">
        <f>K134</f>
        <v>105680</v>
      </c>
      <c r="L135" s="152"/>
      <c r="M135" s="156"/>
      <c r="N135" s="153"/>
      <c r="O135" s="152"/>
      <c r="P135" s="152"/>
      <c r="Q135" s="152"/>
      <c r="R135" s="152"/>
      <c r="S135" s="152"/>
      <c r="T135" s="152"/>
      <c r="U135" s="153"/>
      <c r="V135" s="147">
        <f t="shared" si="38"/>
        <v>105680</v>
      </c>
    </row>
    <row r="136" spans="1:22" ht="45" customHeight="1">
      <c r="A136" s="44" t="s">
        <v>570</v>
      </c>
      <c r="B136" s="101">
        <v>7363</v>
      </c>
      <c r="C136" s="109" t="s">
        <v>411</v>
      </c>
      <c r="D136" s="46" t="s">
        <v>624</v>
      </c>
      <c r="E136" s="147"/>
      <c r="F136" s="149"/>
      <c r="G136" s="149"/>
      <c r="H136" s="149"/>
      <c r="I136" s="149"/>
      <c r="J136" s="149"/>
      <c r="K136" s="149"/>
      <c r="L136" s="149"/>
      <c r="M136" s="147">
        <f aca="true" t="shared" si="48" ref="M136:M141">T136</f>
        <v>8705279</v>
      </c>
      <c r="N136" s="149">
        <f>T136</f>
        <v>8705279</v>
      </c>
      <c r="O136" s="149"/>
      <c r="P136" s="149"/>
      <c r="Q136" s="149"/>
      <c r="R136" s="149"/>
      <c r="S136" s="149"/>
      <c r="T136" s="149">
        <v>8705279</v>
      </c>
      <c r="U136" s="149">
        <v>8705279</v>
      </c>
      <c r="V136" s="147">
        <f t="shared" si="38"/>
        <v>8705279</v>
      </c>
    </row>
    <row r="137" spans="1:22" ht="30" customHeight="1">
      <c r="A137" s="44"/>
      <c r="B137" s="101"/>
      <c r="C137" s="109"/>
      <c r="D137" s="151" t="s">
        <v>943</v>
      </c>
      <c r="E137" s="147"/>
      <c r="F137" s="149"/>
      <c r="G137" s="149"/>
      <c r="H137" s="149"/>
      <c r="I137" s="149"/>
      <c r="J137" s="149"/>
      <c r="K137" s="149"/>
      <c r="L137" s="149"/>
      <c r="M137" s="156">
        <f t="shared" si="48"/>
        <v>8705279</v>
      </c>
      <c r="N137" s="152">
        <f>T137</f>
        <v>8705279</v>
      </c>
      <c r="O137" s="152"/>
      <c r="P137" s="152"/>
      <c r="Q137" s="152"/>
      <c r="R137" s="152"/>
      <c r="S137" s="152"/>
      <c r="T137" s="152">
        <v>8705279</v>
      </c>
      <c r="U137" s="152">
        <v>8705279</v>
      </c>
      <c r="V137" s="147">
        <f t="shared" si="38"/>
        <v>8705279</v>
      </c>
    </row>
    <row r="138" spans="1:22" ht="27.75" customHeight="1">
      <c r="A138" s="44" t="s">
        <v>625</v>
      </c>
      <c r="B138" s="101">
        <v>7670</v>
      </c>
      <c r="C138" s="109" t="s">
        <v>411</v>
      </c>
      <c r="D138" s="271" t="s">
        <v>626</v>
      </c>
      <c r="E138" s="147"/>
      <c r="F138" s="149"/>
      <c r="G138" s="149"/>
      <c r="H138" s="149"/>
      <c r="I138" s="149"/>
      <c r="J138" s="149"/>
      <c r="K138" s="149"/>
      <c r="L138" s="149"/>
      <c r="M138" s="147">
        <f t="shared" si="48"/>
        <v>93709033.31</v>
      </c>
      <c r="N138" s="149">
        <f>T138</f>
        <v>93709033.31</v>
      </c>
      <c r="O138" s="149"/>
      <c r="P138" s="149"/>
      <c r="Q138" s="149"/>
      <c r="R138" s="149"/>
      <c r="S138" s="149"/>
      <c r="T138" s="149">
        <f>29506820.11+1446000+1346513.2+4705000+56704700</f>
        <v>93709033.31</v>
      </c>
      <c r="U138" s="149">
        <f>29506820.11+4705000+33025866.05</f>
        <v>67237686.16</v>
      </c>
      <c r="V138" s="147">
        <f aca="true" t="shared" si="49" ref="V138:V170">M138+E138</f>
        <v>93709033.31</v>
      </c>
    </row>
    <row r="139" spans="1:22" ht="30.75" customHeight="1">
      <c r="A139" s="44" t="s">
        <v>607</v>
      </c>
      <c r="B139" s="101">
        <v>8110</v>
      </c>
      <c r="C139" s="136" t="s">
        <v>472</v>
      </c>
      <c r="D139" s="148" t="s">
        <v>438</v>
      </c>
      <c r="E139" s="147">
        <f>F139</f>
        <v>91200</v>
      </c>
      <c r="F139" s="149">
        <f>SUM(G139:K139)</f>
        <v>91200</v>
      </c>
      <c r="G139" s="149"/>
      <c r="H139" s="149"/>
      <c r="I139" s="149"/>
      <c r="J139" s="149"/>
      <c r="K139" s="149">
        <f>K140</f>
        <v>91200</v>
      </c>
      <c r="L139" s="149"/>
      <c r="M139" s="147">
        <f t="shared" si="48"/>
        <v>0</v>
      </c>
      <c r="N139" s="149"/>
      <c r="O139" s="149"/>
      <c r="P139" s="149"/>
      <c r="Q139" s="149"/>
      <c r="R139" s="149"/>
      <c r="S139" s="149"/>
      <c r="T139" s="149"/>
      <c r="U139" s="149"/>
      <c r="V139" s="147">
        <f t="shared" si="49"/>
        <v>91200</v>
      </c>
    </row>
    <row r="140" spans="1:22" s="154" customFormat="1" ht="93" customHeight="1">
      <c r="A140" s="44"/>
      <c r="B140" s="121"/>
      <c r="C140" s="173"/>
      <c r="D140" s="174" t="s">
        <v>176</v>
      </c>
      <c r="E140" s="156">
        <f>F140</f>
        <v>91200</v>
      </c>
      <c r="F140" s="152">
        <f>K140</f>
        <v>91200</v>
      </c>
      <c r="G140" s="152"/>
      <c r="H140" s="152"/>
      <c r="I140" s="152"/>
      <c r="J140" s="152"/>
      <c r="K140" s="152">
        <v>91200</v>
      </c>
      <c r="L140" s="152"/>
      <c r="M140" s="147">
        <f t="shared" si="48"/>
        <v>0</v>
      </c>
      <c r="N140" s="152"/>
      <c r="O140" s="152"/>
      <c r="P140" s="152"/>
      <c r="Q140" s="152"/>
      <c r="R140" s="152"/>
      <c r="S140" s="152"/>
      <c r="T140" s="152"/>
      <c r="U140" s="152"/>
      <c r="V140" s="156">
        <f t="shared" si="49"/>
        <v>91200</v>
      </c>
    </row>
    <row r="141" spans="1:22" ht="15" hidden="1">
      <c r="A141" s="44" t="s">
        <v>484</v>
      </c>
      <c r="B141" s="101">
        <v>9770</v>
      </c>
      <c r="C141" s="136" t="s">
        <v>106</v>
      </c>
      <c r="D141" s="217" t="s">
        <v>606</v>
      </c>
      <c r="E141" s="147">
        <f>F141</f>
        <v>0</v>
      </c>
      <c r="F141" s="149">
        <f>K141</f>
        <v>0</v>
      </c>
      <c r="G141" s="149"/>
      <c r="H141" s="149"/>
      <c r="I141" s="149"/>
      <c r="J141" s="149"/>
      <c r="K141" s="149"/>
      <c r="L141" s="149"/>
      <c r="M141" s="147">
        <f t="shared" si="48"/>
        <v>0</v>
      </c>
      <c r="N141" s="149">
        <f>T141</f>
        <v>0</v>
      </c>
      <c r="O141" s="149"/>
      <c r="P141" s="149"/>
      <c r="Q141" s="149"/>
      <c r="R141" s="149"/>
      <c r="S141" s="149"/>
      <c r="T141" s="149"/>
      <c r="U141" s="149"/>
      <c r="V141" s="147">
        <f t="shared" si="49"/>
        <v>0</v>
      </c>
    </row>
    <row r="142" spans="1:22" s="97" customFormat="1" ht="15">
      <c r="A142" s="145" t="s">
        <v>128</v>
      </c>
      <c r="B142" s="329"/>
      <c r="C142" s="175"/>
      <c r="D142" s="159" t="s">
        <v>844</v>
      </c>
      <c r="E142" s="176">
        <f>E143</f>
        <v>146481974.1</v>
      </c>
      <c r="F142" s="176">
        <f>F143</f>
        <v>146481974.1</v>
      </c>
      <c r="G142" s="176">
        <f aca="true" t="shared" si="50" ref="G142:O142">G143</f>
        <v>78644221.59</v>
      </c>
      <c r="H142" s="176">
        <f t="shared" si="50"/>
        <v>62460</v>
      </c>
      <c r="I142" s="176">
        <f t="shared" si="50"/>
        <v>295795</v>
      </c>
      <c r="J142" s="176">
        <f t="shared" si="50"/>
        <v>1013490</v>
      </c>
      <c r="K142" s="176">
        <f t="shared" si="50"/>
        <v>66466007.510000005</v>
      </c>
      <c r="L142" s="176">
        <f t="shared" si="50"/>
        <v>0</v>
      </c>
      <c r="M142" s="176">
        <f>M143+M146</f>
        <v>3748493.5</v>
      </c>
      <c r="N142" s="176">
        <f aca="true" t="shared" si="51" ref="N142:U142">N143</f>
        <v>3492284.5</v>
      </c>
      <c r="O142" s="176">
        <f t="shared" si="50"/>
        <v>256209</v>
      </c>
      <c r="P142" s="176">
        <f t="shared" si="51"/>
        <v>34227</v>
      </c>
      <c r="Q142" s="176">
        <f t="shared" si="51"/>
        <v>0</v>
      </c>
      <c r="R142" s="176">
        <f t="shared" si="51"/>
        <v>0</v>
      </c>
      <c r="S142" s="176">
        <f t="shared" si="51"/>
        <v>208751</v>
      </c>
      <c r="T142" s="176">
        <f t="shared" si="51"/>
        <v>3492284.5</v>
      </c>
      <c r="U142" s="176">
        <f t="shared" si="51"/>
        <v>175000</v>
      </c>
      <c r="V142" s="147">
        <f>M142+E142</f>
        <v>150230467.6</v>
      </c>
    </row>
    <row r="143" spans="1:22" s="97" customFormat="1" ht="15">
      <c r="A143" s="145" t="s">
        <v>129</v>
      </c>
      <c r="B143" s="329"/>
      <c r="C143" s="175"/>
      <c r="D143" s="159" t="s">
        <v>845</v>
      </c>
      <c r="E143" s="176">
        <f aca="true" t="shared" si="52" ref="E143:L143">E144+E148+E145</f>
        <v>146481974.1</v>
      </c>
      <c r="F143" s="176">
        <f>F144+F148+F145</f>
        <v>146481974.1</v>
      </c>
      <c r="G143" s="176">
        <f t="shared" si="52"/>
        <v>78644221.59</v>
      </c>
      <c r="H143" s="176">
        <f t="shared" si="52"/>
        <v>62460</v>
      </c>
      <c r="I143" s="176">
        <f t="shared" si="52"/>
        <v>295795</v>
      </c>
      <c r="J143" s="176">
        <f t="shared" si="52"/>
        <v>1013490</v>
      </c>
      <c r="K143" s="176">
        <f t="shared" si="52"/>
        <v>66466007.510000005</v>
      </c>
      <c r="L143" s="176">
        <f t="shared" si="52"/>
        <v>0</v>
      </c>
      <c r="M143" s="176">
        <f>M144+M148+M145+M232+M234+M235</f>
        <v>3748493.5</v>
      </c>
      <c r="N143" s="176">
        <f>N144+N148+N145+N232+N234+N235</f>
        <v>3492284.5</v>
      </c>
      <c r="O143" s="176">
        <f aca="true" t="shared" si="53" ref="O143:U143">O144+O148+O145+O232</f>
        <v>256209</v>
      </c>
      <c r="P143" s="176">
        <f t="shared" si="53"/>
        <v>34227</v>
      </c>
      <c r="Q143" s="176">
        <f t="shared" si="53"/>
        <v>0</v>
      </c>
      <c r="R143" s="176">
        <f t="shared" si="53"/>
        <v>0</v>
      </c>
      <c r="S143" s="176">
        <f t="shared" si="53"/>
        <v>208751</v>
      </c>
      <c r="T143" s="176">
        <f>T144+T148+T145+T232+T234+T235</f>
        <v>3492284.5</v>
      </c>
      <c r="U143" s="176">
        <f t="shared" si="53"/>
        <v>175000</v>
      </c>
      <c r="V143" s="147">
        <f t="shared" si="49"/>
        <v>150230467.6</v>
      </c>
    </row>
    <row r="144" spans="1:22" ht="51.75" customHeight="1">
      <c r="A144" s="44" t="s">
        <v>127</v>
      </c>
      <c r="B144" s="109" t="s">
        <v>367</v>
      </c>
      <c r="C144" s="109" t="s">
        <v>105</v>
      </c>
      <c r="D144" s="148" t="s">
        <v>360</v>
      </c>
      <c r="E144" s="147">
        <f>F144</f>
        <v>58130828</v>
      </c>
      <c r="F144" s="149">
        <f>SUM(G144:K144)</f>
        <v>58130828</v>
      </c>
      <c r="G144" s="149">
        <f>56611937-15000</f>
        <v>56596937</v>
      </c>
      <c r="H144" s="150"/>
      <c r="I144" s="150"/>
      <c r="J144" s="150"/>
      <c r="K144" s="149">
        <f>1518891+15000</f>
        <v>1533891</v>
      </c>
      <c r="L144" s="150"/>
      <c r="M144" s="147">
        <f>SUM(O144,T144)</f>
        <v>0</v>
      </c>
      <c r="N144" s="149">
        <f>T144</f>
        <v>0</v>
      </c>
      <c r="O144" s="150"/>
      <c r="P144" s="150"/>
      <c r="Q144" s="150"/>
      <c r="R144" s="150"/>
      <c r="S144" s="150"/>
      <c r="T144" s="149"/>
      <c r="U144" s="149"/>
      <c r="V144" s="147">
        <f t="shared" si="49"/>
        <v>58130828</v>
      </c>
    </row>
    <row r="145" spans="1:22" ht="41.25" hidden="1">
      <c r="A145" s="44" t="s">
        <v>126</v>
      </c>
      <c r="B145" s="165" t="s">
        <v>355</v>
      </c>
      <c r="C145" s="165" t="s">
        <v>846</v>
      </c>
      <c r="D145" s="207" t="s">
        <v>791</v>
      </c>
      <c r="E145" s="147">
        <f>F145+L145</f>
        <v>0</v>
      </c>
      <c r="F145" s="99">
        <f>SUM(G145:K145)</f>
        <v>0</v>
      </c>
      <c r="G145" s="149"/>
      <c r="H145" s="150"/>
      <c r="I145" s="150"/>
      <c r="J145" s="150"/>
      <c r="K145" s="150"/>
      <c r="L145" s="150"/>
      <c r="M145" s="147">
        <f>SUM(O145,T145)</f>
        <v>0</v>
      </c>
      <c r="N145" s="149"/>
      <c r="O145" s="150"/>
      <c r="P145" s="150"/>
      <c r="Q145" s="150"/>
      <c r="R145" s="150"/>
      <c r="S145" s="150"/>
      <c r="T145" s="149"/>
      <c r="U145" s="150"/>
      <c r="V145" s="147">
        <f t="shared" si="49"/>
        <v>0</v>
      </c>
    </row>
    <row r="146" spans="1:22" s="154" customFormat="1" ht="28.5" hidden="1">
      <c r="A146" s="44"/>
      <c r="B146" s="48"/>
      <c r="C146" s="48"/>
      <c r="D146" s="157" t="s">
        <v>916</v>
      </c>
      <c r="E146" s="147">
        <f>F146+L146</f>
        <v>0</v>
      </c>
      <c r="F146" s="99"/>
      <c r="G146" s="152"/>
      <c r="H146" s="153"/>
      <c r="I146" s="153"/>
      <c r="J146" s="153"/>
      <c r="K146" s="153"/>
      <c r="L146" s="153"/>
      <c r="M146" s="156"/>
      <c r="N146" s="153"/>
      <c r="O146" s="153"/>
      <c r="P146" s="153"/>
      <c r="Q146" s="153"/>
      <c r="R146" s="153"/>
      <c r="S146" s="153"/>
      <c r="T146" s="153"/>
      <c r="U146" s="153"/>
      <c r="V146" s="147">
        <f t="shared" si="49"/>
        <v>0</v>
      </c>
    </row>
    <row r="147" spans="1:22" s="154" customFormat="1" ht="41.25" hidden="1">
      <c r="A147" s="44"/>
      <c r="B147" s="48"/>
      <c r="C147" s="48"/>
      <c r="D147" s="157" t="s">
        <v>84</v>
      </c>
      <c r="E147" s="147">
        <f>F147</f>
        <v>0</v>
      </c>
      <c r="F147" s="99">
        <f>SUM(G147:K147)</f>
        <v>0</v>
      </c>
      <c r="G147" s="152"/>
      <c r="H147" s="153"/>
      <c r="I147" s="153"/>
      <c r="J147" s="153"/>
      <c r="K147" s="152"/>
      <c r="L147" s="153"/>
      <c r="M147" s="156"/>
      <c r="N147" s="153"/>
      <c r="O147" s="153"/>
      <c r="P147" s="153"/>
      <c r="Q147" s="153"/>
      <c r="R147" s="153"/>
      <c r="S147" s="153"/>
      <c r="T147" s="153"/>
      <c r="U147" s="153"/>
      <c r="V147" s="147">
        <f t="shared" si="49"/>
        <v>0</v>
      </c>
    </row>
    <row r="148" spans="1:22" ht="30" customHeight="1">
      <c r="A148" s="44" t="s">
        <v>125</v>
      </c>
      <c r="B148" s="101">
        <v>3000</v>
      </c>
      <c r="C148" s="44"/>
      <c r="D148" s="161" t="s">
        <v>527</v>
      </c>
      <c r="E148" s="147">
        <f>F148</f>
        <v>88351146.1</v>
      </c>
      <c r="F148" s="98">
        <f>F151+F156+F166+F183+F185+F203+F205+F206+F207+F208+F213+F214+F226+F228+F216+F200+F163+F162+F164+F165+F204</f>
        <v>88351146.1</v>
      </c>
      <c r="G148" s="98">
        <f aca="true" t="shared" si="54" ref="G148:L148">G151+G156+G166+G183+G185+G203+G205+G206+G207+G208+G213+G214+G226+G228+G216+G200+G163+G162+G164+G165+G204</f>
        <v>22047284.59</v>
      </c>
      <c r="H148" s="98">
        <f t="shared" si="54"/>
        <v>62460</v>
      </c>
      <c r="I148" s="98">
        <f t="shared" si="54"/>
        <v>295795</v>
      </c>
      <c r="J148" s="98">
        <f t="shared" si="54"/>
        <v>1013490</v>
      </c>
      <c r="K148" s="98">
        <f t="shared" si="54"/>
        <v>64932116.510000005</v>
      </c>
      <c r="L148" s="98">
        <f t="shared" si="54"/>
        <v>0</v>
      </c>
      <c r="M148" s="156">
        <f>O148+T148</f>
        <v>616209</v>
      </c>
      <c r="N148" s="98">
        <f>N161+N183+N203+N205+N206+N207+N213+N214+N228+N218+N220+N222+N224+N204</f>
        <v>360000</v>
      </c>
      <c r="O148" s="98">
        <f>O161+O183+O203+O205+O206+O207+O213+O214+O228+O218+O204</f>
        <v>256209</v>
      </c>
      <c r="P148" s="98">
        <f>P161+P183+P203+P205+P206+P207+P213+P214+P228+P218+P204</f>
        <v>34227</v>
      </c>
      <c r="Q148" s="98">
        <f>Q161+Q183+Q203+Q205+Q206+Q207+Q213+Q214+Q228+Q218+Q204</f>
        <v>0</v>
      </c>
      <c r="R148" s="98">
        <f>R161+R183+R203+R205+R206+R207+R213+R214+R228+R218+R204</f>
        <v>0</v>
      </c>
      <c r="S148" s="98">
        <f>S161+S183+S203+S205+S206+S207+S213+S214+S228+S218+S204</f>
        <v>208751</v>
      </c>
      <c r="T148" s="98">
        <f>T161+T183+T203+T205+T206+T207+T213+T214+T228+T218+T220+T222+T224+T204</f>
        <v>360000</v>
      </c>
      <c r="U148" s="98">
        <f>U161+U183+U203+U205+U206+U207+U213+U214+U228+U218+U220+U222+U224+U204</f>
        <v>175000</v>
      </c>
      <c r="V148" s="147">
        <f>M148+E148</f>
        <v>88967355.1</v>
      </c>
    </row>
    <row r="149" spans="1:22" s="154" customFormat="1" ht="28.5" hidden="1">
      <c r="A149" s="44"/>
      <c r="B149" s="157"/>
      <c r="C149" s="48"/>
      <c r="D149" s="157" t="s">
        <v>916</v>
      </c>
      <c r="E149" s="147">
        <f aca="true" t="shared" si="55" ref="E149:E168">F149+L149</f>
        <v>0</v>
      </c>
      <c r="F149" s="99">
        <f aca="true" t="shared" si="56" ref="F149:K149">F151+F156+F166+F185+F226</f>
        <v>0</v>
      </c>
      <c r="G149" s="99">
        <f t="shared" si="56"/>
        <v>0</v>
      </c>
      <c r="H149" s="99">
        <f t="shared" si="56"/>
        <v>0</v>
      </c>
      <c r="I149" s="99">
        <f t="shared" si="56"/>
        <v>0</v>
      </c>
      <c r="J149" s="99">
        <f t="shared" si="56"/>
        <v>0</v>
      </c>
      <c r="K149" s="99">
        <f t="shared" si="56"/>
        <v>0</v>
      </c>
      <c r="L149" s="162"/>
      <c r="M149" s="147">
        <f>T149</f>
        <v>0</v>
      </c>
      <c r="N149" s="162">
        <f aca="true" t="shared" si="57" ref="N149:S149">N219+N221+N223+N225</f>
        <v>0</v>
      </c>
      <c r="O149" s="162">
        <f t="shared" si="57"/>
        <v>0</v>
      </c>
      <c r="P149" s="162">
        <f t="shared" si="57"/>
        <v>0</v>
      </c>
      <c r="Q149" s="162">
        <f t="shared" si="57"/>
        <v>0</v>
      </c>
      <c r="R149" s="162">
        <f t="shared" si="57"/>
        <v>0</v>
      </c>
      <c r="S149" s="162">
        <f t="shared" si="57"/>
        <v>0</v>
      </c>
      <c r="T149" s="162">
        <f>T219+T221+T223+T225</f>
        <v>0</v>
      </c>
      <c r="U149" s="162">
        <f>U219+U221+U223+U225</f>
        <v>0</v>
      </c>
      <c r="V149" s="147">
        <f t="shared" si="49"/>
        <v>0</v>
      </c>
    </row>
    <row r="150" spans="1:22" s="154" customFormat="1" ht="15.75">
      <c r="A150" s="44"/>
      <c r="B150" s="177"/>
      <c r="C150" s="48"/>
      <c r="D150" s="157" t="s">
        <v>302</v>
      </c>
      <c r="E150" s="147">
        <f t="shared" si="55"/>
        <v>4086120</v>
      </c>
      <c r="F150" s="99">
        <f aca="true" t="shared" si="58" ref="F150:K150">F201+F210+F212+F230+F184</f>
        <v>4086120</v>
      </c>
      <c r="G150" s="99">
        <f t="shared" si="58"/>
        <v>0</v>
      </c>
      <c r="H150" s="99">
        <f t="shared" si="58"/>
        <v>0</v>
      </c>
      <c r="I150" s="99">
        <f t="shared" si="58"/>
        <v>0</v>
      </c>
      <c r="J150" s="99">
        <f t="shared" si="58"/>
        <v>0</v>
      </c>
      <c r="K150" s="99">
        <f t="shared" si="58"/>
        <v>4086120</v>
      </c>
      <c r="L150" s="162"/>
      <c r="M150" s="156"/>
      <c r="N150" s="162"/>
      <c r="O150" s="162"/>
      <c r="P150" s="162"/>
      <c r="Q150" s="162"/>
      <c r="R150" s="162"/>
      <c r="S150" s="162"/>
      <c r="T150" s="162"/>
      <c r="U150" s="162"/>
      <c r="V150" s="147">
        <f t="shared" si="49"/>
        <v>4086120</v>
      </c>
    </row>
    <row r="151" spans="1:22" s="154" customFormat="1" ht="102.75" customHeight="1" hidden="1">
      <c r="A151" s="44" t="s">
        <v>124</v>
      </c>
      <c r="B151" s="122">
        <v>3010</v>
      </c>
      <c r="C151" s="178"/>
      <c r="D151" s="179" t="s">
        <v>901</v>
      </c>
      <c r="E151" s="147">
        <f t="shared" si="55"/>
        <v>0</v>
      </c>
      <c r="F151" s="99">
        <f>F152+F154</f>
        <v>0</v>
      </c>
      <c r="G151" s="162"/>
      <c r="H151" s="162"/>
      <c r="I151" s="162"/>
      <c r="J151" s="162"/>
      <c r="K151" s="162">
        <f>K152+K154</f>
        <v>0</v>
      </c>
      <c r="L151" s="162"/>
      <c r="M151" s="156"/>
      <c r="N151" s="162"/>
      <c r="O151" s="162"/>
      <c r="P151" s="162"/>
      <c r="Q151" s="162"/>
      <c r="R151" s="162"/>
      <c r="S151" s="162"/>
      <c r="T151" s="162"/>
      <c r="U151" s="162"/>
      <c r="V151" s="147">
        <f t="shared" si="49"/>
        <v>0</v>
      </c>
    </row>
    <row r="152" spans="1:22" ht="50.25" customHeight="1" hidden="1">
      <c r="A152" s="47" t="s">
        <v>123</v>
      </c>
      <c r="B152" s="122">
        <v>3011</v>
      </c>
      <c r="C152" s="180" t="s">
        <v>902</v>
      </c>
      <c r="D152" s="181" t="s">
        <v>374</v>
      </c>
      <c r="E152" s="147">
        <f t="shared" si="55"/>
        <v>0</v>
      </c>
      <c r="F152" s="99">
        <f>SUM(G152:K152)</f>
        <v>0</v>
      </c>
      <c r="G152" s="149"/>
      <c r="H152" s="149"/>
      <c r="I152" s="149"/>
      <c r="J152" s="149"/>
      <c r="K152" s="149"/>
      <c r="L152" s="149"/>
      <c r="M152" s="147"/>
      <c r="N152" s="149"/>
      <c r="O152" s="149"/>
      <c r="P152" s="149"/>
      <c r="Q152" s="149"/>
      <c r="R152" s="149"/>
      <c r="S152" s="149"/>
      <c r="T152" s="149"/>
      <c r="U152" s="149"/>
      <c r="V152" s="147">
        <f t="shared" si="49"/>
        <v>0</v>
      </c>
    </row>
    <row r="153" spans="1:22" s="154" customFormat="1" ht="28.5" hidden="1">
      <c r="A153" s="44"/>
      <c r="B153" s="121"/>
      <c r="C153" s="182"/>
      <c r="D153" s="183" t="s">
        <v>917</v>
      </c>
      <c r="E153" s="147">
        <f t="shared" si="55"/>
        <v>0</v>
      </c>
      <c r="F153" s="99">
        <f>SUM(G153:K153)</f>
        <v>0</v>
      </c>
      <c r="G153" s="152"/>
      <c r="H153" s="152"/>
      <c r="I153" s="152"/>
      <c r="J153" s="152"/>
      <c r="K153" s="152"/>
      <c r="L153" s="152"/>
      <c r="M153" s="156"/>
      <c r="N153" s="152"/>
      <c r="O153" s="152"/>
      <c r="P153" s="152"/>
      <c r="Q153" s="152"/>
      <c r="R153" s="152"/>
      <c r="S153" s="152"/>
      <c r="T153" s="152"/>
      <c r="U153" s="152"/>
      <c r="V153" s="147">
        <f t="shared" si="49"/>
        <v>0</v>
      </c>
    </row>
    <row r="154" spans="1:22" ht="44.25" customHeight="1" hidden="1">
      <c r="A154" s="47" t="s">
        <v>122</v>
      </c>
      <c r="B154" s="101">
        <v>3012</v>
      </c>
      <c r="C154" s="184">
        <v>1060</v>
      </c>
      <c r="D154" s="186" t="s">
        <v>415</v>
      </c>
      <c r="E154" s="147">
        <f t="shared" si="55"/>
        <v>0</v>
      </c>
      <c r="F154" s="99">
        <f>SUM(G154:K154)</f>
        <v>0</v>
      </c>
      <c r="G154" s="149"/>
      <c r="H154" s="149"/>
      <c r="I154" s="149"/>
      <c r="J154" s="149"/>
      <c r="K154" s="149"/>
      <c r="L154" s="149"/>
      <c r="M154" s="147"/>
      <c r="N154" s="149"/>
      <c r="O154" s="149"/>
      <c r="P154" s="149"/>
      <c r="Q154" s="149"/>
      <c r="R154" s="149"/>
      <c r="S154" s="149"/>
      <c r="T154" s="149"/>
      <c r="U154" s="149"/>
      <c r="V154" s="147">
        <f t="shared" si="49"/>
        <v>0</v>
      </c>
    </row>
    <row r="155" spans="1:22" s="154" customFormat="1" ht="28.5" hidden="1">
      <c r="A155" s="44"/>
      <c r="B155" s="121"/>
      <c r="C155" s="182"/>
      <c r="D155" s="157" t="s">
        <v>917</v>
      </c>
      <c r="E155" s="147">
        <f t="shared" si="55"/>
        <v>0</v>
      </c>
      <c r="F155" s="99">
        <f>SUM(G155:K155)</f>
        <v>0</v>
      </c>
      <c r="G155" s="152"/>
      <c r="H155" s="152"/>
      <c r="I155" s="152"/>
      <c r="J155" s="152"/>
      <c r="K155" s="152">
        <f>K154</f>
        <v>0</v>
      </c>
      <c r="L155" s="152"/>
      <c r="M155" s="156"/>
      <c r="N155" s="152"/>
      <c r="O155" s="152"/>
      <c r="P155" s="152"/>
      <c r="Q155" s="152"/>
      <c r="R155" s="152"/>
      <c r="S155" s="152"/>
      <c r="T155" s="152"/>
      <c r="U155" s="152"/>
      <c r="V155" s="147">
        <f t="shared" si="49"/>
        <v>0</v>
      </c>
    </row>
    <row r="156" spans="1:22" s="154" customFormat="1" ht="41.25" hidden="1">
      <c r="A156" s="44" t="s">
        <v>121</v>
      </c>
      <c r="B156" s="101">
        <v>3020</v>
      </c>
      <c r="C156" s="187"/>
      <c r="D156" s="51" t="s">
        <v>416</v>
      </c>
      <c r="E156" s="147">
        <f t="shared" si="55"/>
        <v>0</v>
      </c>
      <c r="F156" s="99">
        <f>F157+F159</f>
        <v>0</v>
      </c>
      <c r="G156" s="152"/>
      <c r="H156" s="152"/>
      <c r="I156" s="152"/>
      <c r="J156" s="152"/>
      <c r="K156" s="149">
        <f>K157+K159</f>
        <v>0</v>
      </c>
      <c r="L156" s="152"/>
      <c r="M156" s="156"/>
      <c r="N156" s="152"/>
      <c r="O156" s="152"/>
      <c r="P156" s="152"/>
      <c r="Q156" s="152"/>
      <c r="R156" s="152"/>
      <c r="S156" s="152"/>
      <c r="T156" s="152"/>
      <c r="U156" s="152"/>
      <c r="V156" s="147">
        <f t="shared" si="49"/>
        <v>0</v>
      </c>
    </row>
    <row r="157" spans="1:22" ht="63.75" customHeight="1" hidden="1">
      <c r="A157" s="47" t="s">
        <v>120</v>
      </c>
      <c r="B157" s="101">
        <v>3021</v>
      </c>
      <c r="C157" s="188">
        <v>1030</v>
      </c>
      <c r="D157" s="189" t="s">
        <v>375</v>
      </c>
      <c r="E157" s="147">
        <f t="shared" si="55"/>
        <v>0</v>
      </c>
      <c r="F157" s="99">
        <f>SUM(G157:K157)</f>
        <v>0</v>
      </c>
      <c r="G157" s="149"/>
      <c r="H157" s="149"/>
      <c r="I157" s="149"/>
      <c r="J157" s="149"/>
      <c r="K157" s="149"/>
      <c r="L157" s="149"/>
      <c r="M157" s="147"/>
      <c r="N157" s="149"/>
      <c r="O157" s="149"/>
      <c r="P157" s="149"/>
      <c r="Q157" s="149"/>
      <c r="R157" s="149"/>
      <c r="S157" s="149"/>
      <c r="T157" s="149"/>
      <c r="U157" s="149"/>
      <c r="V157" s="147">
        <f t="shared" si="49"/>
        <v>0</v>
      </c>
    </row>
    <row r="158" spans="1:22" s="154" customFormat="1" ht="36" customHeight="1" hidden="1">
      <c r="A158" s="44"/>
      <c r="B158" s="121"/>
      <c r="C158" s="182"/>
      <c r="D158" s="183" t="s">
        <v>917</v>
      </c>
      <c r="E158" s="147">
        <f t="shared" si="55"/>
        <v>0</v>
      </c>
      <c r="F158" s="99">
        <f>SUM(G158:K158)</f>
        <v>0</v>
      </c>
      <c r="G158" s="152"/>
      <c r="H158" s="152"/>
      <c r="I158" s="152"/>
      <c r="J158" s="152"/>
      <c r="K158" s="152">
        <f>K157</f>
        <v>0</v>
      </c>
      <c r="L158" s="152"/>
      <c r="M158" s="156"/>
      <c r="N158" s="152"/>
      <c r="O158" s="152"/>
      <c r="P158" s="152"/>
      <c r="Q158" s="152"/>
      <c r="R158" s="152"/>
      <c r="S158" s="152"/>
      <c r="T158" s="152"/>
      <c r="U158" s="152"/>
      <c r="V158" s="147">
        <f t="shared" si="49"/>
        <v>0</v>
      </c>
    </row>
    <row r="159" spans="1:22" ht="66.75" customHeight="1" hidden="1">
      <c r="A159" s="47" t="s">
        <v>376</v>
      </c>
      <c r="B159" s="101">
        <v>3022</v>
      </c>
      <c r="C159" s="184">
        <v>1060</v>
      </c>
      <c r="D159" s="190" t="s">
        <v>523</v>
      </c>
      <c r="E159" s="147">
        <f t="shared" si="55"/>
        <v>0</v>
      </c>
      <c r="F159" s="99">
        <f>SUM(G159:K159)</f>
        <v>0</v>
      </c>
      <c r="G159" s="149"/>
      <c r="H159" s="149"/>
      <c r="I159" s="149"/>
      <c r="J159" s="149"/>
      <c r="K159" s="149"/>
      <c r="L159" s="149"/>
      <c r="M159" s="147"/>
      <c r="N159" s="149"/>
      <c r="O159" s="149"/>
      <c r="P159" s="149"/>
      <c r="Q159" s="149"/>
      <c r="R159" s="149"/>
      <c r="S159" s="149"/>
      <c r="T159" s="149"/>
      <c r="U159" s="149"/>
      <c r="V159" s="147">
        <f t="shared" si="49"/>
        <v>0</v>
      </c>
    </row>
    <row r="160" spans="1:22" s="154" customFormat="1" ht="28.5" hidden="1">
      <c r="A160" s="44"/>
      <c r="B160" s="121"/>
      <c r="C160" s="191"/>
      <c r="D160" s="157" t="s">
        <v>918</v>
      </c>
      <c r="E160" s="147">
        <f t="shared" si="55"/>
        <v>0</v>
      </c>
      <c r="F160" s="99">
        <f>SUM(G160:K160)</f>
        <v>0</v>
      </c>
      <c r="G160" s="152"/>
      <c r="H160" s="152"/>
      <c r="I160" s="152"/>
      <c r="J160" s="152"/>
      <c r="K160" s="152">
        <f>K159</f>
        <v>0</v>
      </c>
      <c r="L160" s="152"/>
      <c r="M160" s="170"/>
      <c r="N160" s="152"/>
      <c r="O160" s="152"/>
      <c r="P160" s="152"/>
      <c r="Q160" s="152"/>
      <c r="R160" s="152"/>
      <c r="S160" s="152"/>
      <c r="T160" s="152"/>
      <c r="U160" s="152"/>
      <c r="V160" s="147">
        <f t="shared" si="49"/>
        <v>0</v>
      </c>
    </row>
    <row r="161" spans="1:22" ht="62.25" customHeight="1" hidden="1">
      <c r="A161" s="44" t="s">
        <v>532</v>
      </c>
      <c r="B161" s="101">
        <v>3030</v>
      </c>
      <c r="C161" s="184"/>
      <c r="D161" s="220" t="s">
        <v>533</v>
      </c>
      <c r="E161" s="147">
        <f t="shared" si="55"/>
        <v>416327</v>
      </c>
      <c r="F161" s="99">
        <f>SUM(G161:K161)</f>
        <v>416327</v>
      </c>
      <c r="G161" s="99">
        <f aca="true" t="shared" si="59" ref="G161:L161">G162</f>
        <v>0</v>
      </c>
      <c r="H161" s="99">
        <f t="shared" si="59"/>
        <v>0</v>
      </c>
      <c r="I161" s="99">
        <f t="shared" si="59"/>
        <v>0</v>
      </c>
      <c r="J161" s="99">
        <f t="shared" si="59"/>
        <v>0</v>
      </c>
      <c r="K161" s="99">
        <f t="shared" si="59"/>
        <v>416327</v>
      </c>
      <c r="L161" s="99">
        <f t="shared" si="59"/>
        <v>0</v>
      </c>
      <c r="M161" s="147"/>
      <c r="N161" s="149"/>
      <c r="O161" s="149"/>
      <c r="P161" s="149"/>
      <c r="Q161" s="149"/>
      <c r="R161" s="149"/>
      <c r="S161" s="149"/>
      <c r="T161" s="149"/>
      <c r="U161" s="149"/>
      <c r="V161" s="147">
        <f t="shared" si="49"/>
        <v>416327</v>
      </c>
    </row>
    <row r="162" spans="1:22" s="154" customFormat="1" ht="27">
      <c r="A162" s="47" t="s">
        <v>642</v>
      </c>
      <c r="B162" s="121">
        <v>3031</v>
      </c>
      <c r="C162" s="182" t="s">
        <v>334</v>
      </c>
      <c r="D162" s="280" t="s">
        <v>644</v>
      </c>
      <c r="E162" s="156">
        <f t="shared" si="55"/>
        <v>416327</v>
      </c>
      <c r="F162" s="162">
        <f aca="true" t="shared" si="60" ref="F162:F183">SUM(G162:K162)</f>
        <v>416327</v>
      </c>
      <c r="G162" s="152"/>
      <c r="H162" s="152"/>
      <c r="I162" s="152"/>
      <c r="J162" s="152"/>
      <c r="K162" s="152">
        <f>439870-23543</f>
        <v>416327</v>
      </c>
      <c r="L162" s="152"/>
      <c r="M162" s="156"/>
      <c r="N162" s="152"/>
      <c r="O162" s="152"/>
      <c r="P162" s="152"/>
      <c r="Q162" s="152"/>
      <c r="R162" s="152"/>
      <c r="S162" s="152"/>
      <c r="T162" s="152"/>
      <c r="U162" s="152"/>
      <c r="V162" s="156">
        <f t="shared" si="49"/>
        <v>416327</v>
      </c>
    </row>
    <row r="163" spans="1:22" s="154" customFormat="1" ht="27">
      <c r="A163" s="44" t="s">
        <v>597</v>
      </c>
      <c r="B163" s="121">
        <v>3032</v>
      </c>
      <c r="C163" s="268" t="s">
        <v>820</v>
      </c>
      <c r="D163" s="220" t="s">
        <v>598</v>
      </c>
      <c r="E163" s="147">
        <f t="shared" si="55"/>
        <v>1777490</v>
      </c>
      <c r="F163" s="99">
        <f t="shared" si="60"/>
        <v>1777490</v>
      </c>
      <c r="G163" s="152"/>
      <c r="H163" s="152"/>
      <c r="I163" s="152"/>
      <c r="J163" s="152"/>
      <c r="K163" s="149">
        <v>1777490</v>
      </c>
      <c r="L163" s="152"/>
      <c r="M163" s="156"/>
      <c r="N163" s="152"/>
      <c r="O163" s="152"/>
      <c r="P163" s="152"/>
      <c r="Q163" s="152"/>
      <c r="R163" s="152"/>
      <c r="S163" s="152"/>
      <c r="T163" s="152"/>
      <c r="U163" s="152"/>
      <c r="V163" s="147">
        <f t="shared" si="49"/>
        <v>1777490</v>
      </c>
    </row>
    <row r="164" spans="1:22" s="154" customFormat="1" ht="45" customHeight="1">
      <c r="A164" s="44" t="s">
        <v>647</v>
      </c>
      <c r="B164" s="121">
        <v>3035</v>
      </c>
      <c r="C164" s="268" t="s">
        <v>820</v>
      </c>
      <c r="D164" s="220" t="s">
        <v>648</v>
      </c>
      <c r="E164" s="147">
        <f t="shared" si="55"/>
        <v>674093</v>
      </c>
      <c r="F164" s="99">
        <f t="shared" si="60"/>
        <v>674093</v>
      </c>
      <c r="G164" s="152"/>
      <c r="H164" s="152"/>
      <c r="I164" s="152"/>
      <c r="J164" s="152"/>
      <c r="K164" s="149">
        <f>763200-89107</f>
        <v>674093</v>
      </c>
      <c r="L164" s="152"/>
      <c r="M164" s="156"/>
      <c r="N164" s="152"/>
      <c r="O164" s="152"/>
      <c r="P164" s="152"/>
      <c r="Q164" s="152"/>
      <c r="R164" s="152"/>
      <c r="S164" s="152"/>
      <c r="T164" s="152"/>
      <c r="U164" s="152"/>
      <c r="V164" s="147">
        <f t="shared" si="49"/>
        <v>674093</v>
      </c>
    </row>
    <row r="165" spans="1:22" s="154" customFormat="1" ht="41.25">
      <c r="A165" s="44" t="s">
        <v>687</v>
      </c>
      <c r="B165" s="121">
        <v>3036</v>
      </c>
      <c r="C165" s="268" t="s">
        <v>820</v>
      </c>
      <c r="D165" s="220" t="s">
        <v>688</v>
      </c>
      <c r="E165" s="147">
        <f t="shared" si="55"/>
        <v>22402853</v>
      </c>
      <c r="F165" s="99">
        <f t="shared" si="60"/>
        <v>22402853</v>
      </c>
      <c r="G165" s="152"/>
      <c r="H165" s="152"/>
      <c r="I165" s="152"/>
      <c r="J165" s="152"/>
      <c r="K165" s="149">
        <f>47896553-7898000-17595700</f>
        <v>22402853</v>
      </c>
      <c r="L165" s="152"/>
      <c r="M165" s="156"/>
      <c r="N165" s="152"/>
      <c r="O165" s="152"/>
      <c r="P165" s="152"/>
      <c r="Q165" s="152"/>
      <c r="R165" s="152"/>
      <c r="S165" s="152"/>
      <c r="T165" s="152"/>
      <c r="U165" s="152"/>
      <c r="V165" s="147">
        <f t="shared" si="49"/>
        <v>22402853</v>
      </c>
    </row>
    <row r="166" spans="1:22" s="154" customFormat="1" ht="41.25" hidden="1">
      <c r="A166" s="44" t="s">
        <v>119</v>
      </c>
      <c r="B166" s="101">
        <v>3040</v>
      </c>
      <c r="C166" s="192"/>
      <c r="D166" s="51" t="s">
        <v>745</v>
      </c>
      <c r="E166" s="147">
        <f t="shared" si="55"/>
        <v>0</v>
      </c>
      <c r="F166" s="99">
        <f t="shared" si="60"/>
        <v>0</v>
      </c>
      <c r="G166" s="152"/>
      <c r="H166" s="152"/>
      <c r="I166" s="152"/>
      <c r="J166" s="152"/>
      <c r="K166" s="152">
        <f>K167+K169+K171+K173+K175+K177+K179+K181</f>
        <v>0</v>
      </c>
      <c r="L166" s="152"/>
      <c r="M166" s="156"/>
      <c r="N166" s="152"/>
      <c r="O166" s="152"/>
      <c r="P166" s="152"/>
      <c r="Q166" s="152"/>
      <c r="R166" s="152"/>
      <c r="S166" s="152"/>
      <c r="T166" s="152"/>
      <c r="U166" s="152"/>
      <c r="V166" s="147">
        <f t="shared" si="49"/>
        <v>0</v>
      </c>
    </row>
    <row r="167" spans="1:22" ht="29.25" customHeight="1" hidden="1">
      <c r="A167" s="47" t="s">
        <v>117</v>
      </c>
      <c r="B167" s="121">
        <v>3041</v>
      </c>
      <c r="C167" s="182" t="s">
        <v>403</v>
      </c>
      <c r="D167" s="189" t="s">
        <v>404</v>
      </c>
      <c r="E167" s="147">
        <f t="shared" si="55"/>
        <v>0</v>
      </c>
      <c r="F167" s="99">
        <f t="shared" si="60"/>
        <v>0</v>
      </c>
      <c r="G167" s="149"/>
      <c r="H167" s="149"/>
      <c r="I167" s="149"/>
      <c r="J167" s="149"/>
      <c r="K167" s="149"/>
      <c r="L167" s="149"/>
      <c r="M167" s="147"/>
      <c r="N167" s="149"/>
      <c r="O167" s="149"/>
      <c r="P167" s="149"/>
      <c r="Q167" s="149"/>
      <c r="R167" s="149"/>
      <c r="S167" s="149"/>
      <c r="T167" s="149"/>
      <c r="U167" s="149"/>
      <c r="V167" s="147">
        <f t="shared" si="49"/>
        <v>0</v>
      </c>
    </row>
    <row r="168" spans="1:22" s="154" customFormat="1" ht="28.5" hidden="1">
      <c r="A168" s="44"/>
      <c r="B168" s="121"/>
      <c r="C168" s="182"/>
      <c r="D168" s="157" t="s">
        <v>917</v>
      </c>
      <c r="E168" s="147">
        <f t="shared" si="55"/>
        <v>0</v>
      </c>
      <c r="F168" s="99">
        <f t="shared" si="60"/>
        <v>0</v>
      </c>
      <c r="G168" s="152"/>
      <c r="H168" s="152"/>
      <c r="I168" s="152"/>
      <c r="J168" s="152"/>
      <c r="K168" s="152">
        <f>K167</f>
        <v>0</v>
      </c>
      <c r="L168" s="152"/>
      <c r="M168" s="156"/>
      <c r="N168" s="152"/>
      <c r="O168" s="152"/>
      <c r="P168" s="152"/>
      <c r="Q168" s="152"/>
      <c r="R168" s="152"/>
      <c r="S168" s="152"/>
      <c r="T168" s="152"/>
      <c r="U168" s="152"/>
      <c r="V168" s="147">
        <f t="shared" si="49"/>
        <v>0</v>
      </c>
    </row>
    <row r="169" spans="1:22" ht="15" hidden="1">
      <c r="A169" s="47" t="s">
        <v>118</v>
      </c>
      <c r="B169" s="121">
        <v>3042</v>
      </c>
      <c r="C169" s="182" t="s">
        <v>403</v>
      </c>
      <c r="D169" s="186" t="s">
        <v>134</v>
      </c>
      <c r="E169" s="147">
        <f aca="true" t="shared" si="61" ref="E169:E212">F169+L169</f>
        <v>0</v>
      </c>
      <c r="F169" s="99">
        <f t="shared" si="60"/>
        <v>0</v>
      </c>
      <c r="G169" s="149"/>
      <c r="H169" s="149"/>
      <c r="I169" s="149"/>
      <c r="J169" s="149"/>
      <c r="K169" s="149"/>
      <c r="L169" s="149"/>
      <c r="M169" s="147"/>
      <c r="N169" s="149"/>
      <c r="O169" s="149"/>
      <c r="P169" s="149"/>
      <c r="Q169" s="149"/>
      <c r="R169" s="149"/>
      <c r="S169" s="149"/>
      <c r="T169" s="149"/>
      <c r="U169" s="149"/>
      <c r="V169" s="147">
        <f t="shared" si="49"/>
        <v>0</v>
      </c>
    </row>
    <row r="170" spans="1:22" s="154" customFormat="1" ht="32.25" customHeight="1" hidden="1">
      <c r="A170" s="44"/>
      <c r="B170" s="121"/>
      <c r="C170" s="191"/>
      <c r="D170" s="157" t="s">
        <v>917</v>
      </c>
      <c r="E170" s="147">
        <f t="shared" si="61"/>
        <v>0</v>
      </c>
      <c r="F170" s="99">
        <f t="shared" si="60"/>
        <v>0</v>
      </c>
      <c r="G170" s="152"/>
      <c r="H170" s="152"/>
      <c r="I170" s="152"/>
      <c r="J170" s="152"/>
      <c r="K170" s="152">
        <f>K169</f>
        <v>0</v>
      </c>
      <c r="L170" s="152"/>
      <c r="M170" s="156"/>
      <c r="N170" s="152"/>
      <c r="O170" s="152"/>
      <c r="P170" s="152"/>
      <c r="Q170" s="152"/>
      <c r="R170" s="152"/>
      <c r="S170" s="152"/>
      <c r="T170" s="152"/>
      <c r="U170" s="152"/>
      <c r="V170" s="147">
        <f t="shared" si="49"/>
        <v>0</v>
      </c>
    </row>
    <row r="171" spans="1:22" ht="15" hidden="1">
      <c r="A171" s="47" t="s">
        <v>116</v>
      </c>
      <c r="B171" s="101">
        <v>3043</v>
      </c>
      <c r="C171" s="184" t="s">
        <v>403</v>
      </c>
      <c r="D171" s="186" t="s">
        <v>405</v>
      </c>
      <c r="E171" s="147">
        <f t="shared" si="61"/>
        <v>0</v>
      </c>
      <c r="F171" s="99">
        <f t="shared" si="60"/>
        <v>0</v>
      </c>
      <c r="G171" s="149"/>
      <c r="H171" s="149"/>
      <c r="I171" s="149"/>
      <c r="J171" s="149"/>
      <c r="K171" s="149"/>
      <c r="L171" s="149"/>
      <c r="M171" s="147"/>
      <c r="N171" s="149"/>
      <c r="O171" s="149"/>
      <c r="P171" s="149"/>
      <c r="Q171" s="149"/>
      <c r="R171" s="149"/>
      <c r="S171" s="149"/>
      <c r="T171" s="149"/>
      <c r="U171" s="149"/>
      <c r="V171" s="147">
        <f aca="true" t="shared" si="62" ref="V171:V209">M171+E171</f>
        <v>0</v>
      </c>
    </row>
    <row r="172" spans="1:22" s="154" customFormat="1" ht="28.5" hidden="1">
      <c r="A172" s="44"/>
      <c r="B172" s="121"/>
      <c r="C172" s="191"/>
      <c r="D172" s="157" t="s">
        <v>917</v>
      </c>
      <c r="E172" s="147">
        <f t="shared" si="61"/>
        <v>0</v>
      </c>
      <c r="F172" s="99">
        <f t="shared" si="60"/>
        <v>0</v>
      </c>
      <c r="G172" s="152"/>
      <c r="H172" s="152"/>
      <c r="I172" s="152"/>
      <c r="J172" s="152"/>
      <c r="K172" s="152">
        <f>K171</f>
        <v>0</v>
      </c>
      <c r="L172" s="152"/>
      <c r="M172" s="156"/>
      <c r="N172" s="152"/>
      <c r="O172" s="152"/>
      <c r="P172" s="152"/>
      <c r="Q172" s="152"/>
      <c r="R172" s="152"/>
      <c r="S172" s="152"/>
      <c r="T172" s="152"/>
      <c r="U172" s="152"/>
      <c r="V172" s="147">
        <f t="shared" si="62"/>
        <v>0</v>
      </c>
    </row>
    <row r="173" spans="1:22" ht="32.25" customHeight="1" hidden="1">
      <c r="A173" s="47" t="s">
        <v>115</v>
      </c>
      <c r="B173" s="101">
        <v>3044</v>
      </c>
      <c r="C173" s="184" t="s">
        <v>403</v>
      </c>
      <c r="D173" s="186" t="s">
        <v>406</v>
      </c>
      <c r="E173" s="147">
        <f t="shared" si="61"/>
        <v>0</v>
      </c>
      <c r="F173" s="99">
        <f t="shared" si="60"/>
        <v>0</v>
      </c>
      <c r="G173" s="149"/>
      <c r="H173" s="149"/>
      <c r="I173" s="149"/>
      <c r="J173" s="149"/>
      <c r="K173" s="149"/>
      <c r="L173" s="149"/>
      <c r="M173" s="147"/>
      <c r="N173" s="149"/>
      <c r="O173" s="149"/>
      <c r="P173" s="149"/>
      <c r="Q173" s="149"/>
      <c r="R173" s="149"/>
      <c r="S173" s="149"/>
      <c r="T173" s="149"/>
      <c r="U173" s="149"/>
      <c r="V173" s="147">
        <f t="shared" si="62"/>
        <v>0</v>
      </c>
    </row>
    <row r="174" spans="1:22" s="154" customFormat="1" ht="28.5" hidden="1">
      <c r="A174" s="44"/>
      <c r="B174" s="121"/>
      <c r="C174" s="191"/>
      <c r="D174" s="157" t="s">
        <v>918</v>
      </c>
      <c r="E174" s="147">
        <f t="shared" si="61"/>
        <v>0</v>
      </c>
      <c r="F174" s="99">
        <f t="shared" si="60"/>
        <v>0</v>
      </c>
      <c r="G174" s="152"/>
      <c r="H174" s="152"/>
      <c r="I174" s="152"/>
      <c r="J174" s="152"/>
      <c r="K174" s="152">
        <f>K173</f>
        <v>0</v>
      </c>
      <c r="L174" s="152"/>
      <c r="M174" s="156"/>
      <c r="N174" s="152"/>
      <c r="O174" s="152"/>
      <c r="P174" s="152"/>
      <c r="Q174" s="152"/>
      <c r="R174" s="152"/>
      <c r="S174" s="152"/>
      <c r="T174" s="152"/>
      <c r="U174" s="152"/>
      <c r="V174" s="147">
        <f t="shared" si="62"/>
        <v>0</v>
      </c>
    </row>
    <row r="175" spans="1:22" ht="15" hidden="1">
      <c r="A175" s="47" t="s">
        <v>114</v>
      </c>
      <c r="B175" s="101">
        <v>3045</v>
      </c>
      <c r="C175" s="193">
        <v>1040</v>
      </c>
      <c r="D175" s="218" t="s">
        <v>407</v>
      </c>
      <c r="E175" s="147">
        <f t="shared" si="61"/>
        <v>0</v>
      </c>
      <c r="F175" s="99">
        <f t="shared" si="60"/>
        <v>0</v>
      </c>
      <c r="G175" s="149"/>
      <c r="H175" s="149"/>
      <c r="I175" s="149"/>
      <c r="J175" s="149"/>
      <c r="K175" s="149"/>
      <c r="L175" s="149"/>
      <c r="M175" s="147"/>
      <c r="N175" s="149"/>
      <c r="O175" s="149"/>
      <c r="P175" s="149"/>
      <c r="Q175" s="149"/>
      <c r="R175" s="149"/>
      <c r="S175" s="149"/>
      <c r="T175" s="149"/>
      <c r="U175" s="149"/>
      <c r="V175" s="147">
        <f t="shared" si="62"/>
        <v>0</v>
      </c>
    </row>
    <row r="176" spans="1:22" s="154" customFormat="1" ht="33" customHeight="1" hidden="1">
      <c r="A176" s="44"/>
      <c r="B176" s="121"/>
      <c r="C176" s="191"/>
      <c r="D176" s="157" t="s">
        <v>917</v>
      </c>
      <c r="E176" s="147">
        <f t="shared" si="61"/>
        <v>0</v>
      </c>
      <c r="F176" s="99">
        <f t="shared" si="60"/>
        <v>0</v>
      </c>
      <c r="G176" s="152"/>
      <c r="H176" s="152"/>
      <c r="I176" s="152"/>
      <c r="J176" s="152"/>
      <c r="K176" s="152">
        <f>K175</f>
        <v>0</v>
      </c>
      <c r="L176" s="152"/>
      <c r="M176" s="156"/>
      <c r="N176" s="152"/>
      <c r="O176" s="152"/>
      <c r="P176" s="152"/>
      <c r="Q176" s="152"/>
      <c r="R176" s="152"/>
      <c r="S176" s="152"/>
      <c r="T176" s="152"/>
      <c r="U176" s="152"/>
      <c r="V176" s="147">
        <f t="shared" si="62"/>
        <v>0</v>
      </c>
    </row>
    <row r="177" spans="1:22" ht="15" hidden="1">
      <c r="A177" s="47" t="s">
        <v>113</v>
      </c>
      <c r="B177" s="101">
        <v>3046</v>
      </c>
      <c r="C177" s="184" t="s">
        <v>403</v>
      </c>
      <c r="D177" s="186" t="s">
        <v>408</v>
      </c>
      <c r="E177" s="147">
        <f t="shared" si="61"/>
        <v>0</v>
      </c>
      <c r="F177" s="99">
        <f t="shared" si="60"/>
        <v>0</v>
      </c>
      <c r="G177" s="149"/>
      <c r="H177" s="149"/>
      <c r="I177" s="149"/>
      <c r="J177" s="149"/>
      <c r="K177" s="149"/>
      <c r="L177" s="149"/>
      <c r="M177" s="147"/>
      <c r="N177" s="149"/>
      <c r="O177" s="149"/>
      <c r="P177" s="149"/>
      <c r="Q177" s="149"/>
      <c r="R177" s="149"/>
      <c r="S177" s="149"/>
      <c r="T177" s="149"/>
      <c r="U177" s="149"/>
      <c r="V177" s="147">
        <f t="shared" si="62"/>
        <v>0</v>
      </c>
    </row>
    <row r="178" spans="1:22" s="154" customFormat="1" ht="30.75" customHeight="1" hidden="1">
      <c r="A178" s="44"/>
      <c r="B178" s="121"/>
      <c r="C178" s="191"/>
      <c r="D178" s="157" t="s">
        <v>917</v>
      </c>
      <c r="E178" s="147">
        <f t="shared" si="61"/>
        <v>0</v>
      </c>
      <c r="F178" s="99">
        <f t="shared" si="60"/>
        <v>0</v>
      </c>
      <c r="G178" s="152"/>
      <c r="H178" s="152"/>
      <c r="I178" s="152"/>
      <c r="J178" s="152"/>
      <c r="K178" s="152">
        <f>K177</f>
        <v>0</v>
      </c>
      <c r="L178" s="152"/>
      <c r="M178" s="156"/>
      <c r="N178" s="152"/>
      <c r="O178" s="152"/>
      <c r="P178" s="152"/>
      <c r="Q178" s="152"/>
      <c r="R178" s="152"/>
      <c r="S178" s="152"/>
      <c r="T178" s="152"/>
      <c r="U178" s="152"/>
      <c r="V178" s="147">
        <f t="shared" si="62"/>
        <v>0</v>
      </c>
    </row>
    <row r="179" spans="1:22" ht="31.5" customHeight="1" hidden="1">
      <c r="A179" s="47" t="s">
        <v>112</v>
      </c>
      <c r="B179" s="101">
        <v>3047</v>
      </c>
      <c r="C179" s="184" t="s">
        <v>403</v>
      </c>
      <c r="D179" s="186" t="s">
        <v>409</v>
      </c>
      <c r="E179" s="147">
        <f t="shared" si="61"/>
        <v>0</v>
      </c>
      <c r="F179" s="99">
        <f t="shared" si="60"/>
        <v>0</v>
      </c>
      <c r="G179" s="149"/>
      <c r="H179" s="149"/>
      <c r="I179" s="149"/>
      <c r="J179" s="149"/>
      <c r="K179" s="149"/>
      <c r="L179" s="149"/>
      <c r="M179" s="147"/>
      <c r="N179" s="149"/>
      <c r="O179" s="149"/>
      <c r="P179" s="149"/>
      <c r="Q179" s="149"/>
      <c r="R179" s="149"/>
      <c r="S179" s="149"/>
      <c r="T179" s="149"/>
      <c r="U179" s="149"/>
      <c r="V179" s="147">
        <f t="shared" si="62"/>
        <v>0</v>
      </c>
    </row>
    <row r="180" spans="1:22" s="154" customFormat="1" ht="33" customHeight="1" hidden="1">
      <c r="A180" s="44"/>
      <c r="B180" s="121"/>
      <c r="C180" s="191"/>
      <c r="D180" s="157" t="s">
        <v>917</v>
      </c>
      <c r="E180" s="147">
        <f t="shared" si="61"/>
        <v>0</v>
      </c>
      <c r="F180" s="99">
        <f t="shared" si="60"/>
        <v>0</v>
      </c>
      <c r="G180" s="152"/>
      <c r="H180" s="152"/>
      <c r="I180" s="152"/>
      <c r="J180" s="152"/>
      <c r="K180" s="152">
        <f>K179</f>
        <v>0</v>
      </c>
      <c r="L180" s="152"/>
      <c r="M180" s="156"/>
      <c r="N180" s="152"/>
      <c r="O180" s="152"/>
      <c r="P180" s="152"/>
      <c r="Q180" s="152"/>
      <c r="R180" s="152"/>
      <c r="S180" s="152"/>
      <c r="T180" s="152"/>
      <c r="U180" s="152"/>
      <c r="V180" s="147">
        <f t="shared" si="62"/>
        <v>0</v>
      </c>
    </row>
    <row r="181" spans="1:22" ht="31.5" customHeight="1" hidden="1">
      <c r="A181" s="47" t="s">
        <v>694</v>
      </c>
      <c r="B181" s="101">
        <v>3049</v>
      </c>
      <c r="C181" s="184" t="s">
        <v>403</v>
      </c>
      <c r="D181" s="186" t="s">
        <v>695</v>
      </c>
      <c r="E181" s="147">
        <f>F181+L181</f>
        <v>0</v>
      </c>
      <c r="F181" s="99">
        <f>SUM(G181:K181)</f>
        <v>0</v>
      </c>
      <c r="G181" s="149"/>
      <c r="H181" s="149"/>
      <c r="I181" s="149"/>
      <c r="J181" s="149"/>
      <c r="K181" s="149"/>
      <c r="L181" s="149"/>
      <c r="M181" s="147"/>
      <c r="N181" s="149"/>
      <c r="O181" s="149"/>
      <c r="P181" s="149"/>
      <c r="Q181" s="149"/>
      <c r="R181" s="149"/>
      <c r="S181" s="149"/>
      <c r="T181" s="149"/>
      <c r="U181" s="149"/>
      <c r="V181" s="147">
        <f>M181+E181</f>
        <v>0</v>
      </c>
    </row>
    <row r="182" spans="1:22" s="154" customFormat="1" ht="33" customHeight="1" hidden="1">
      <c r="A182" s="44"/>
      <c r="B182" s="121"/>
      <c r="C182" s="191"/>
      <c r="D182" s="157" t="s">
        <v>917</v>
      </c>
      <c r="E182" s="147">
        <f>F182+L182</f>
        <v>0</v>
      </c>
      <c r="F182" s="99">
        <f>SUM(G182:K182)</f>
        <v>0</v>
      </c>
      <c r="G182" s="152"/>
      <c r="H182" s="152"/>
      <c r="I182" s="152"/>
      <c r="J182" s="152"/>
      <c r="K182" s="152">
        <f>K181</f>
        <v>0</v>
      </c>
      <c r="L182" s="152"/>
      <c r="M182" s="156"/>
      <c r="N182" s="152"/>
      <c r="O182" s="152"/>
      <c r="P182" s="152"/>
      <c r="Q182" s="152"/>
      <c r="R182" s="152"/>
      <c r="S182" s="152"/>
      <c r="T182" s="152"/>
      <c r="U182" s="152"/>
      <c r="V182" s="147">
        <f>M182+E182</f>
        <v>0</v>
      </c>
    </row>
    <row r="183" spans="1:22" ht="44.25" customHeight="1">
      <c r="A183" s="44" t="s">
        <v>111</v>
      </c>
      <c r="B183" s="101">
        <v>3050</v>
      </c>
      <c r="C183" s="184" t="s">
        <v>546</v>
      </c>
      <c r="D183" s="186" t="s">
        <v>821</v>
      </c>
      <c r="E183" s="147">
        <f t="shared" si="61"/>
        <v>3195876</v>
      </c>
      <c r="F183" s="99">
        <f t="shared" si="60"/>
        <v>3195876</v>
      </c>
      <c r="G183" s="149"/>
      <c r="H183" s="149"/>
      <c r="I183" s="149"/>
      <c r="J183" s="149"/>
      <c r="K183" s="149">
        <f>434860+2761016</f>
        <v>3195876</v>
      </c>
      <c r="L183" s="149"/>
      <c r="M183" s="147"/>
      <c r="N183" s="149"/>
      <c r="O183" s="149"/>
      <c r="P183" s="149"/>
      <c r="Q183" s="149"/>
      <c r="R183" s="149"/>
      <c r="S183" s="149"/>
      <c r="T183" s="149"/>
      <c r="U183" s="149"/>
      <c r="V183" s="147">
        <f t="shared" si="62"/>
        <v>3195876</v>
      </c>
    </row>
    <row r="184" spans="1:22" ht="15">
      <c r="A184" s="44"/>
      <c r="B184" s="101"/>
      <c r="C184" s="184"/>
      <c r="D184" s="157" t="s">
        <v>302</v>
      </c>
      <c r="E184" s="147">
        <f t="shared" si="61"/>
        <v>2761016</v>
      </c>
      <c r="F184" s="99">
        <f>SUM(G184:K184)</f>
        <v>2761016</v>
      </c>
      <c r="G184" s="149"/>
      <c r="H184" s="149"/>
      <c r="I184" s="149"/>
      <c r="J184" s="149"/>
      <c r="K184" s="149">
        <v>2761016</v>
      </c>
      <c r="L184" s="149"/>
      <c r="M184" s="147"/>
      <c r="N184" s="149"/>
      <c r="O184" s="149"/>
      <c r="P184" s="149"/>
      <c r="Q184" s="149"/>
      <c r="R184" s="149"/>
      <c r="S184" s="149"/>
      <c r="T184" s="149"/>
      <c r="U184" s="149"/>
      <c r="V184" s="147">
        <f t="shared" si="62"/>
        <v>2761016</v>
      </c>
    </row>
    <row r="185" spans="1:22" ht="156.75" customHeight="1" hidden="1">
      <c r="A185" s="44" t="s">
        <v>110</v>
      </c>
      <c r="B185" s="101">
        <v>3080</v>
      </c>
      <c r="C185" s="184"/>
      <c r="D185" s="265" t="s">
        <v>274</v>
      </c>
      <c r="E185" s="147">
        <f t="shared" si="61"/>
        <v>0</v>
      </c>
      <c r="F185" s="99">
        <f>SUM(G185:K185)</f>
        <v>0</v>
      </c>
      <c r="G185" s="149"/>
      <c r="H185" s="149"/>
      <c r="I185" s="149"/>
      <c r="J185" s="149"/>
      <c r="K185" s="149">
        <f>K186+K188+K190+K192+K194+K196+K198</f>
        <v>0</v>
      </c>
      <c r="L185" s="149"/>
      <c r="M185" s="147"/>
      <c r="N185" s="149"/>
      <c r="O185" s="149"/>
      <c r="P185" s="149"/>
      <c r="Q185" s="149"/>
      <c r="R185" s="149"/>
      <c r="S185" s="149"/>
      <c r="T185" s="149"/>
      <c r="U185" s="149"/>
      <c r="V185" s="147">
        <f t="shared" si="62"/>
        <v>0</v>
      </c>
    </row>
    <row r="186" spans="1:22" ht="42.75" customHeight="1" hidden="1">
      <c r="A186" s="47" t="s">
        <v>275</v>
      </c>
      <c r="B186" s="101">
        <v>3081</v>
      </c>
      <c r="C186" s="184" t="s">
        <v>104</v>
      </c>
      <c r="D186" s="186" t="s">
        <v>725</v>
      </c>
      <c r="E186" s="147">
        <f t="shared" si="61"/>
        <v>0</v>
      </c>
      <c r="F186" s="99">
        <f aca="true" t="shared" si="63" ref="F186:F195">SUM(G186:K186)</f>
        <v>0</v>
      </c>
      <c r="G186" s="149"/>
      <c r="H186" s="149"/>
      <c r="I186" s="149"/>
      <c r="J186" s="149"/>
      <c r="K186" s="149"/>
      <c r="L186" s="149"/>
      <c r="M186" s="147"/>
      <c r="N186" s="149"/>
      <c r="O186" s="149"/>
      <c r="P186" s="149"/>
      <c r="Q186" s="149"/>
      <c r="R186" s="149"/>
      <c r="S186" s="149"/>
      <c r="T186" s="149"/>
      <c r="U186" s="149"/>
      <c r="V186" s="147">
        <f t="shared" si="62"/>
        <v>0</v>
      </c>
    </row>
    <row r="187" spans="1:22" s="154" customFormat="1" ht="28.5" hidden="1">
      <c r="A187" s="44"/>
      <c r="B187" s="121"/>
      <c r="C187" s="182"/>
      <c r="D187" s="157" t="s">
        <v>917</v>
      </c>
      <c r="E187" s="147">
        <f t="shared" si="61"/>
        <v>0</v>
      </c>
      <c r="F187" s="99">
        <f t="shared" si="63"/>
        <v>0</v>
      </c>
      <c r="G187" s="152"/>
      <c r="H187" s="152"/>
      <c r="I187" s="152"/>
      <c r="J187" s="152"/>
      <c r="K187" s="152">
        <f>K186</f>
        <v>0</v>
      </c>
      <c r="L187" s="152"/>
      <c r="M187" s="156"/>
      <c r="N187" s="152"/>
      <c r="O187" s="152"/>
      <c r="P187" s="152"/>
      <c r="Q187" s="152"/>
      <c r="R187" s="152"/>
      <c r="S187" s="152"/>
      <c r="T187" s="152"/>
      <c r="U187" s="152"/>
      <c r="V187" s="147">
        <f t="shared" si="62"/>
        <v>0</v>
      </c>
    </row>
    <row r="188" spans="1:22" ht="63" customHeight="1" hidden="1">
      <c r="A188" s="47" t="s">
        <v>276</v>
      </c>
      <c r="B188" s="101">
        <v>3082</v>
      </c>
      <c r="C188" s="184" t="s">
        <v>104</v>
      </c>
      <c r="D188" s="186" t="s">
        <v>277</v>
      </c>
      <c r="E188" s="147">
        <f t="shared" si="61"/>
        <v>0</v>
      </c>
      <c r="F188" s="99">
        <f t="shared" si="63"/>
        <v>0</v>
      </c>
      <c r="G188" s="149"/>
      <c r="H188" s="149"/>
      <c r="I188" s="149"/>
      <c r="J188" s="149"/>
      <c r="K188" s="149"/>
      <c r="L188" s="149"/>
      <c r="M188" s="147"/>
      <c r="N188" s="149"/>
      <c r="O188" s="149"/>
      <c r="P188" s="149"/>
      <c r="Q188" s="149"/>
      <c r="R188" s="149"/>
      <c r="S188" s="149"/>
      <c r="T188" s="149"/>
      <c r="U188" s="149"/>
      <c r="V188" s="147">
        <f t="shared" si="62"/>
        <v>0</v>
      </c>
    </row>
    <row r="189" spans="1:22" s="154" customFormat="1" ht="28.5" hidden="1">
      <c r="A189" s="44"/>
      <c r="B189" s="121"/>
      <c r="C189" s="182"/>
      <c r="D189" s="157" t="s">
        <v>917</v>
      </c>
      <c r="E189" s="147">
        <f t="shared" si="61"/>
        <v>0</v>
      </c>
      <c r="F189" s="99">
        <f t="shared" si="63"/>
        <v>0</v>
      </c>
      <c r="G189" s="152"/>
      <c r="H189" s="152"/>
      <c r="I189" s="152"/>
      <c r="J189" s="152"/>
      <c r="K189" s="152">
        <f>K188</f>
        <v>0</v>
      </c>
      <c r="L189" s="152"/>
      <c r="M189" s="156"/>
      <c r="N189" s="152"/>
      <c r="O189" s="152"/>
      <c r="P189" s="152"/>
      <c r="Q189" s="152"/>
      <c r="R189" s="152"/>
      <c r="S189" s="152"/>
      <c r="T189" s="152"/>
      <c r="U189" s="152"/>
      <c r="V189" s="147">
        <f t="shared" si="62"/>
        <v>0</v>
      </c>
    </row>
    <row r="190" spans="1:22" ht="51.75" customHeight="1" hidden="1">
      <c r="A190" s="47" t="s">
        <v>278</v>
      </c>
      <c r="B190" s="101">
        <v>3083</v>
      </c>
      <c r="C190" s="184" t="s">
        <v>104</v>
      </c>
      <c r="D190" s="260" t="s">
        <v>726</v>
      </c>
      <c r="E190" s="147">
        <f t="shared" si="61"/>
        <v>0</v>
      </c>
      <c r="F190" s="99">
        <f t="shared" si="63"/>
        <v>0</v>
      </c>
      <c r="G190" s="149"/>
      <c r="H190" s="149"/>
      <c r="I190" s="149"/>
      <c r="J190" s="149"/>
      <c r="K190" s="149"/>
      <c r="L190" s="149"/>
      <c r="M190" s="147"/>
      <c r="N190" s="149"/>
      <c r="O190" s="149"/>
      <c r="P190" s="149"/>
      <c r="Q190" s="149"/>
      <c r="R190" s="149"/>
      <c r="S190" s="149"/>
      <c r="T190" s="149"/>
      <c r="U190" s="149"/>
      <c r="V190" s="147">
        <f t="shared" si="62"/>
        <v>0</v>
      </c>
    </row>
    <row r="191" spans="1:22" s="154" customFormat="1" ht="28.5" hidden="1">
      <c r="A191" s="44"/>
      <c r="B191" s="121"/>
      <c r="C191" s="182"/>
      <c r="D191" s="157" t="s">
        <v>917</v>
      </c>
      <c r="E191" s="147">
        <f t="shared" si="61"/>
        <v>0</v>
      </c>
      <c r="F191" s="99">
        <f t="shared" si="63"/>
        <v>0</v>
      </c>
      <c r="G191" s="152"/>
      <c r="H191" s="152"/>
      <c r="I191" s="152"/>
      <c r="J191" s="152"/>
      <c r="K191" s="152">
        <f>K190</f>
        <v>0</v>
      </c>
      <c r="L191" s="152"/>
      <c r="M191" s="156"/>
      <c r="N191" s="152"/>
      <c r="O191" s="152"/>
      <c r="P191" s="152"/>
      <c r="Q191" s="152"/>
      <c r="R191" s="152"/>
      <c r="S191" s="152"/>
      <c r="T191" s="152"/>
      <c r="U191" s="152"/>
      <c r="V191" s="147">
        <f t="shared" si="62"/>
        <v>0</v>
      </c>
    </row>
    <row r="192" spans="1:22" ht="61.5" customHeight="1" hidden="1">
      <c r="A192" s="47" t="s">
        <v>279</v>
      </c>
      <c r="B192" s="101">
        <v>3084</v>
      </c>
      <c r="C192" s="184" t="s">
        <v>719</v>
      </c>
      <c r="D192" s="186" t="s">
        <v>281</v>
      </c>
      <c r="E192" s="147">
        <f t="shared" si="61"/>
        <v>0</v>
      </c>
      <c r="F192" s="99">
        <f t="shared" si="63"/>
        <v>0</v>
      </c>
      <c r="G192" s="149"/>
      <c r="H192" s="149"/>
      <c r="I192" s="149"/>
      <c r="J192" s="149"/>
      <c r="K192" s="149"/>
      <c r="L192" s="149"/>
      <c r="M192" s="147"/>
      <c r="N192" s="149"/>
      <c r="O192" s="149"/>
      <c r="P192" s="149"/>
      <c r="Q192" s="149"/>
      <c r="R192" s="149"/>
      <c r="S192" s="149"/>
      <c r="T192" s="149"/>
      <c r="U192" s="149"/>
      <c r="V192" s="147">
        <f t="shared" si="62"/>
        <v>0</v>
      </c>
    </row>
    <row r="193" spans="1:22" s="154" customFormat="1" ht="28.5" hidden="1">
      <c r="A193" s="44"/>
      <c r="B193" s="121"/>
      <c r="C193" s="182"/>
      <c r="D193" s="157" t="s">
        <v>917</v>
      </c>
      <c r="E193" s="147">
        <f t="shared" si="61"/>
        <v>0</v>
      </c>
      <c r="F193" s="99">
        <f t="shared" si="63"/>
        <v>0</v>
      </c>
      <c r="G193" s="152"/>
      <c r="H193" s="152"/>
      <c r="I193" s="152"/>
      <c r="J193" s="152"/>
      <c r="K193" s="152">
        <f>K192</f>
        <v>0</v>
      </c>
      <c r="L193" s="152"/>
      <c r="M193" s="156"/>
      <c r="N193" s="152"/>
      <c r="O193" s="152"/>
      <c r="P193" s="152"/>
      <c r="Q193" s="152"/>
      <c r="R193" s="152"/>
      <c r="S193" s="152"/>
      <c r="T193" s="152"/>
      <c r="U193" s="152"/>
      <c r="V193" s="147">
        <f t="shared" si="62"/>
        <v>0</v>
      </c>
    </row>
    <row r="194" spans="1:22" ht="80.25" customHeight="1" hidden="1">
      <c r="A194" s="47" t="s">
        <v>280</v>
      </c>
      <c r="B194" s="101">
        <v>3085</v>
      </c>
      <c r="C194" s="184" t="s">
        <v>104</v>
      </c>
      <c r="D194" s="186" t="s">
        <v>292</v>
      </c>
      <c r="E194" s="147">
        <f t="shared" si="61"/>
        <v>0</v>
      </c>
      <c r="F194" s="99">
        <f t="shared" si="63"/>
        <v>0</v>
      </c>
      <c r="G194" s="149"/>
      <c r="H194" s="149"/>
      <c r="I194" s="149"/>
      <c r="J194" s="149"/>
      <c r="K194" s="149"/>
      <c r="L194" s="149"/>
      <c r="M194" s="147"/>
      <c r="N194" s="149"/>
      <c r="O194" s="149"/>
      <c r="P194" s="149"/>
      <c r="Q194" s="149"/>
      <c r="R194" s="149"/>
      <c r="S194" s="149"/>
      <c r="T194" s="149"/>
      <c r="U194" s="149"/>
      <c r="V194" s="147">
        <f t="shared" si="62"/>
        <v>0</v>
      </c>
    </row>
    <row r="195" spans="1:22" s="154" customFormat="1" ht="28.5" hidden="1">
      <c r="A195" s="44"/>
      <c r="B195" s="121"/>
      <c r="C195" s="182"/>
      <c r="D195" s="157" t="s">
        <v>917</v>
      </c>
      <c r="E195" s="147">
        <f t="shared" si="61"/>
        <v>0</v>
      </c>
      <c r="F195" s="99">
        <f t="shared" si="63"/>
        <v>0</v>
      </c>
      <c r="G195" s="152"/>
      <c r="H195" s="152"/>
      <c r="I195" s="152"/>
      <c r="J195" s="152"/>
      <c r="K195" s="152">
        <f>K194</f>
        <v>0</v>
      </c>
      <c r="L195" s="152"/>
      <c r="M195" s="156"/>
      <c r="N195" s="152"/>
      <c r="O195" s="152"/>
      <c r="P195" s="152"/>
      <c r="Q195" s="152"/>
      <c r="R195" s="152"/>
      <c r="S195" s="152"/>
      <c r="T195" s="152"/>
      <c r="U195" s="152"/>
      <c r="V195" s="147">
        <f t="shared" si="62"/>
        <v>0</v>
      </c>
    </row>
    <row r="196" spans="1:22" ht="180" customHeight="1" hidden="1">
      <c r="A196" s="47" t="s">
        <v>693</v>
      </c>
      <c r="B196" s="101">
        <v>3086</v>
      </c>
      <c r="C196" s="184" t="s">
        <v>719</v>
      </c>
      <c r="D196" s="265" t="s">
        <v>18</v>
      </c>
      <c r="E196" s="147">
        <f>F196+L196</f>
        <v>0</v>
      </c>
      <c r="F196" s="99">
        <f>SUM(G196:K196)</f>
        <v>0</v>
      </c>
      <c r="G196" s="149"/>
      <c r="H196" s="149"/>
      <c r="I196" s="149"/>
      <c r="J196" s="149"/>
      <c r="K196" s="149"/>
      <c r="L196" s="149"/>
      <c r="M196" s="147"/>
      <c r="N196" s="149"/>
      <c r="O196" s="149"/>
      <c r="P196" s="149"/>
      <c r="Q196" s="149"/>
      <c r="R196" s="149"/>
      <c r="S196" s="149"/>
      <c r="T196" s="149"/>
      <c r="U196" s="149"/>
      <c r="V196" s="147">
        <f>M196+E196</f>
        <v>0</v>
      </c>
    </row>
    <row r="197" spans="1:22" s="154" customFormat="1" ht="28.5" hidden="1">
      <c r="A197" s="44"/>
      <c r="B197" s="121"/>
      <c r="C197" s="182"/>
      <c r="D197" s="157" t="s">
        <v>917</v>
      </c>
      <c r="E197" s="147">
        <f>F197+L197</f>
        <v>0</v>
      </c>
      <c r="F197" s="99">
        <f>SUM(G197:K197)</f>
        <v>0</v>
      </c>
      <c r="G197" s="152"/>
      <c r="H197" s="152"/>
      <c r="I197" s="152"/>
      <c r="J197" s="152"/>
      <c r="K197" s="152">
        <f>K196</f>
        <v>0</v>
      </c>
      <c r="L197" s="152"/>
      <c r="M197" s="156"/>
      <c r="N197" s="152"/>
      <c r="O197" s="152"/>
      <c r="P197" s="152"/>
      <c r="Q197" s="152"/>
      <c r="R197" s="152"/>
      <c r="S197" s="152"/>
      <c r="T197" s="152"/>
      <c r="U197" s="152"/>
      <c r="V197" s="147">
        <f>M197+E197</f>
        <v>0</v>
      </c>
    </row>
    <row r="198" spans="1:22" ht="27" hidden="1">
      <c r="A198" s="47" t="s">
        <v>698</v>
      </c>
      <c r="B198" s="101">
        <v>3087</v>
      </c>
      <c r="C198" s="184" t="s">
        <v>719</v>
      </c>
      <c r="D198" s="265" t="s">
        <v>699</v>
      </c>
      <c r="E198" s="147">
        <f>F198+L198</f>
        <v>0</v>
      </c>
      <c r="F198" s="99">
        <f>SUM(G198:K198)</f>
        <v>0</v>
      </c>
      <c r="G198" s="149"/>
      <c r="H198" s="149"/>
      <c r="I198" s="149"/>
      <c r="J198" s="149"/>
      <c r="K198" s="149"/>
      <c r="L198" s="149"/>
      <c r="M198" s="147"/>
      <c r="N198" s="149"/>
      <c r="O198" s="149"/>
      <c r="P198" s="149"/>
      <c r="Q198" s="149"/>
      <c r="R198" s="149"/>
      <c r="S198" s="149"/>
      <c r="T198" s="149"/>
      <c r="U198" s="149"/>
      <c r="V198" s="147">
        <f>M198+E198</f>
        <v>0</v>
      </c>
    </row>
    <row r="199" spans="1:22" s="154" customFormat="1" ht="28.5" hidden="1">
      <c r="A199" s="44"/>
      <c r="B199" s="121"/>
      <c r="C199" s="182"/>
      <c r="D199" s="157" t="s">
        <v>917</v>
      </c>
      <c r="E199" s="147">
        <f>F199+L199</f>
        <v>0</v>
      </c>
      <c r="F199" s="99">
        <f>SUM(G199:K199)</f>
        <v>0</v>
      </c>
      <c r="G199" s="152"/>
      <c r="H199" s="152"/>
      <c r="I199" s="152"/>
      <c r="J199" s="152"/>
      <c r="K199" s="152">
        <f>K198</f>
        <v>0</v>
      </c>
      <c r="L199" s="152"/>
      <c r="M199" s="156"/>
      <c r="N199" s="152"/>
      <c r="O199" s="152"/>
      <c r="P199" s="152"/>
      <c r="Q199" s="152"/>
      <c r="R199" s="152"/>
      <c r="S199" s="152"/>
      <c r="T199" s="152"/>
      <c r="U199" s="152"/>
      <c r="V199" s="147">
        <f>M199+E199</f>
        <v>0</v>
      </c>
    </row>
    <row r="200" spans="1:22" s="154" customFormat="1" ht="30.75" customHeight="1">
      <c r="A200" s="44" t="s">
        <v>592</v>
      </c>
      <c r="B200" s="101">
        <v>3090</v>
      </c>
      <c r="C200" s="184">
        <v>1030</v>
      </c>
      <c r="D200" s="185" t="s">
        <v>293</v>
      </c>
      <c r="E200" s="147">
        <f t="shared" si="61"/>
        <v>193596</v>
      </c>
      <c r="F200" s="99">
        <f>SUM(G200:K200)</f>
        <v>193596</v>
      </c>
      <c r="G200" s="152"/>
      <c r="H200" s="152"/>
      <c r="I200" s="152"/>
      <c r="J200" s="152"/>
      <c r="K200" s="149">
        <v>193596</v>
      </c>
      <c r="L200" s="152"/>
      <c r="M200" s="170"/>
      <c r="N200" s="152"/>
      <c r="O200" s="152"/>
      <c r="P200" s="152"/>
      <c r="Q200" s="152"/>
      <c r="R200" s="152"/>
      <c r="S200" s="152"/>
      <c r="T200" s="152"/>
      <c r="U200" s="152"/>
      <c r="V200" s="147">
        <f t="shared" si="62"/>
        <v>193596</v>
      </c>
    </row>
    <row r="201" spans="1:22" s="154" customFormat="1" ht="15.75">
      <c r="A201" s="44"/>
      <c r="B201" s="121"/>
      <c r="C201" s="194"/>
      <c r="D201" s="157" t="s">
        <v>302</v>
      </c>
      <c r="E201" s="156">
        <f t="shared" si="61"/>
        <v>193596</v>
      </c>
      <c r="F201" s="162">
        <f>F200</f>
        <v>193596</v>
      </c>
      <c r="G201" s="152"/>
      <c r="H201" s="152"/>
      <c r="I201" s="152"/>
      <c r="J201" s="152"/>
      <c r="K201" s="152">
        <f>K200</f>
        <v>193596</v>
      </c>
      <c r="L201" s="152"/>
      <c r="M201" s="170"/>
      <c r="N201" s="152"/>
      <c r="O201" s="152"/>
      <c r="P201" s="152"/>
      <c r="Q201" s="152"/>
      <c r="R201" s="152"/>
      <c r="S201" s="152"/>
      <c r="T201" s="152"/>
      <c r="U201" s="152"/>
      <c r="V201" s="147">
        <f t="shared" si="62"/>
        <v>193596</v>
      </c>
    </row>
    <row r="202" spans="1:22" s="154" customFormat="1" ht="54.75" hidden="1">
      <c r="A202" s="44" t="s">
        <v>534</v>
      </c>
      <c r="B202" s="121"/>
      <c r="C202" s="194"/>
      <c r="D202" s="185" t="s">
        <v>535</v>
      </c>
      <c r="E202" s="147">
        <f>F202+L202</f>
        <v>28707349.59</v>
      </c>
      <c r="F202" s="99">
        <f>G202+H202+I202+J202+K202</f>
        <v>28707349.59</v>
      </c>
      <c r="G202" s="149">
        <f>G203+G205+G206+G207+G208+G213+G214</f>
        <v>18107625.59</v>
      </c>
      <c r="H202" s="149">
        <f>H203+H205+H206+H207+H208+H213+H214</f>
        <v>62460</v>
      </c>
      <c r="I202" s="149">
        <f>I203+I205+I206+I207+I208+I213+I214</f>
        <v>0</v>
      </c>
      <c r="J202" s="149">
        <f>J203+J205+J206+J207+J208+J213+J214</f>
        <v>852708</v>
      </c>
      <c r="K202" s="149">
        <f>K203+K205+K206+K207+K208+K213+K214</f>
        <v>9684556</v>
      </c>
      <c r="L202" s="152"/>
      <c r="M202" s="147">
        <f>O202+T202</f>
        <v>441209</v>
      </c>
      <c r="N202" s="149">
        <f>N203+N205+N206+N207+N208+N213+N214</f>
        <v>185000</v>
      </c>
      <c r="O202" s="149">
        <f aca="true" t="shared" si="64" ref="O202:U202">O203+O205+O206+O207+O208+O213+O214</f>
        <v>256209</v>
      </c>
      <c r="P202" s="149">
        <f t="shared" si="64"/>
        <v>34227</v>
      </c>
      <c r="Q202" s="149">
        <f t="shared" si="64"/>
        <v>0</v>
      </c>
      <c r="R202" s="149">
        <f t="shared" si="64"/>
        <v>0</v>
      </c>
      <c r="S202" s="149">
        <f t="shared" si="64"/>
        <v>208751</v>
      </c>
      <c r="T202" s="149">
        <f t="shared" si="64"/>
        <v>185000</v>
      </c>
      <c r="U202" s="149">
        <f t="shared" si="64"/>
        <v>0</v>
      </c>
      <c r="V202" s="147">
        <f t="shared" si="62"/>
        <v>29148558.59</v>
      </c>
    </row>
    <row r="203" spans="1:22" ht="60" customHeight="1">
      <c r="A203" s="44" t="s">
        <v>591</v>
      </c>
      <c r="B203" s="101">
        <v>3104</v>
      </c>
      <c r="C203" s="184" t="s">
        <v>856</v>
      </c>
      <c r="D203" s="186" t="s">
        <v>855</v>
      </c>
      <c r="E203" s="147">
        <f t="shared" si="61"/>
        <v>16554355.59</v>
      </c>
      <c r="F203" s="99">
        <f>SUM(G203:K203)</f>
        <v>16554355.59</v>
      </c>
      <c r="G203" s="149">
        <f>14908206+333579.59</f>
        <v>15241785.59</v>
      </c>
      <c r="H203" s="149">
        <f>1660+60800</f>
        <v>62460</v>
      </c>
      <c r="I203" s="149"/>
      <c r="J203" s="149">
        <v>775563</v>
      </c>
      <c r="K203" s="149">
        <f>376875+48672+49000</f>
        <v>474547</v>
      </c>
      <c r="L203" s="149"/>
      <c r="M203" s="147">
        <f>O203+T203</f>
        <v>441209</v>
      </c>
      <c r="N203" s="149">
        <v>185000</v>
      </c>
      <c r="O203" s="149">
        <f>456209-200000</f>
        <v>256209</v>
      </c>
      <c r="P203" s="149">
        <v>34227</v>
      </c>
      <c r="Q203" s="149"/>
      <c r="R203" s="149"/>
      <c r="S203" s="149">
        <v>208751</v>
      </c>
      <c r="T203" s="149">
        <v>185000</v>
      </c>
      <c r="U203" s="149"/>
      <c r="V203" s="147">
        <f t="shared" si="62"/>
        <v>16995564.59</v>
      </c>
    </row>
    <row r="204" spans="1:22" ht="33.75" customHeight="1">
      <c r="A204" s="44" t="s">
        <v>151</v>
      </c>
      <c r="B204" s="101">
        <v>3105</v>
      </c>
      <c r="C204" s="184" t="s">
        <v>103</v>
      </c>
      <c r="D204" s="186" t="s">
        <v>150</v>
      </c>
      <c r="E204" s="147">
        <f t="shared" si="61"/>
        <v>3751079</v>
      </c>
      <c r="F204" s="99">
        <f>SUM(G204:K204)</f>
        <v>3751079</v>
      </c>
      <c r="G204" s="149">
        <v>3364659</v>
      </c>
      <c r="H204" s="149"/>
      <c r="I204" s="149">
        <v>112675</v>
      </c>
      <c r="J204" s="149">
        <v>160782</v>
      </c>
      <c r="K204" s="149">
        <f>60000+48543+4420</f>
        <v>112963</v>
      </c>
      <c r="L204" s="149"/>
      <c r="M204" s="147">
        <f>O204+T204</f>
        <v>175000</v>
      </c>
      <c r="N204" s="149">
        <v>175000</v>
      </c>
      <c r="O204" s="149"/>
      <c r="P204" s="149"/>
      <c r="Q204" s="149"/>
      <c r="R204" s="149"/>
      <c r="S204" s="149"/>
      <c r="T204" s="149">
        <f>175000</f>
        <v>175000</v>
      </c>
      <c r="U204" s="149">
        <v>175000</v>
      </c>
      <c r="V204" s="147">
        <f t="shared" si="62"/>
        <v>3926079</v>
      </c>
    </row>
    <row r="205" spans="1:22" ht="33" customHeight="1">
      <c r="A205" s="44" t="s">
        <v>380</v>
      </c>
      <c r="B205" s="101">
        <v>3121</v>
      </c>
      <c r="C205" s="184" t="s">
        <v>719</v>
      </c>
      <c r="D205" s="186" t="s">
        <v>377</v>
      </c>
      <c r="E205" s="147">
        <f t="shared" si="61"/>
        <v>3024580</v>
      </c>
      <c r="F205" s="99">
        <f>SUM(G205:K205)</f>
        <v>3024580</v>
      </c>
      <c r="G205" s="149">
        <v>2865840</v>
      </c>
      <c r="H205" s="149"/>
      <c r="I205" s="149"/>
      <c r="J205" s="149">
        <v>77145</v>
      </c>
      <c r="K205" s="149">
        <f>56700+4420+13050+7425</f>
        <v>81595</v>
      </c>
      <c r="L205" s="149"/>
      <c r="M205" s="147">
        <f>O205+T205</f>
        <v>0</v>
      </c>
      <c r="N205" s="149"/>
      <c r="O205" s="149"/>
      <c r="P205" s="149"/>
      <c r="Q205" s="149"/>
      <c r="R205" s="149"/>
      <c r="S205" s="149"/>
      <c r="T205" s="149"/>
      <c r="U205" s="149"/>
      <c r="V205" s="147">
        <f t="shared" si="62"/>
        <v>3024580</v>
      </c>
    </row>
    <row r="206" spans="1:22" ht="72" customHeight="1">
      <c r="A206" s="44" t="s">
        <v>381</v>
      </c>
      <c r="B206" s="101">
        <v>3140</v>
      </c>
      <c r="C206" s="109" t="s">
        <v>719</v>
      </c>
      <c r="D206" s="46" t="s">
        <v>873</v>
      </c>
      <c r="E206" s="147">
        <f t="shared" si="61"/>
        <v>3657756</v>
      </c>
      <c r="F206" s="99">
        <f aca="true" t="shared" si="65" ref="F206:F226">SUM(G206:K206)</f>
        <v>3657756</v>
      </c>
      <c r="G206" s="149"/>
      <c r="H206" s="149"/>
      <c r="I206" s="149"/>
      <c r="J206" s="149"/>
      <c r="K206" s="149">
        <f>172620+3485136</f>
        <v>3657756</v>
      </c>
      <c r="L206" s="149"/>
      <c r="M206" s="147"/>
      <c r="N206" s="149"/>
      <c r="O206" s="149"/>
      <c r="P206" s="149"/>
      <c r="Q206" s="149"/>
      <c r="R206" s="149"/>
      <c r="S206" s="149"/>
      <c r="T206" s="149"/>
      <c r="U206" s="149"/>
      <c r="V206" s="147">
        <f t="shared" si="62"/>
        <v>3657756</v>
      </c>
    </row>
    <row r="207" spans="1:22" ht="90.75" customHeight="1">
      <c r="A207" s="44" t="s">
        <v>590</v>
      </c>
      <c r="B207" s="101">
        <v>3160</v>
      </c>
      <c r="C207" s="109" t="s">
        <v>103</v>
      </c>
      <c r="D207" s="46" t="s">
        <v>69</v>
      </c>
      <c r="E207" s="147">
        <f>F207+L207</f>
        <v>1979912</v>
      </c>
      <c r="F207" s="99">
        <f>SUM(G207:K207)</f>
        <v>1979912</v>
      </c>
      <c r="G207" s="99"/>
      <c r="H207" s="99"/>
      <c r="I207" s="99"/>
      <c r="J207" s="99"/>
      <c r="K207" s="99">
        <v>1979912</v>
      </c>
      <c r="L207" s="99"/>
      <c r="M207" s="147"/>
      <c r="N207" s="99"/>
      <c r="O207" s="99"/>
      <c r="P207" s="99"/>
      <c r="Q207" s="99"/>
      <c r="R207" s="99"/>
      <c r="S207" s="99"/>
      <c r="T207" s="99"/>
      <c r="U207" s="99"/>
      <c r="V207" s="147">
        <f t="shared" si="62"/>
        <v>1979912</v>
      </c>
    </row>
    <row r="208" spans="1:22" ht="27" hidden="1">
      <c r="A208" s="44" t="s">
        <v>294</v>
      </c>
      <c r="B208" s="101">
        <v>3170</v>
      </c>
      <c r="C208" s="109"/>
      <c r="D208" s="46" t="s">
        <v>295</v>
      </c>
      <c r="E208" s="147">
        <f>F208+L208</f>
        <v>523008</v>
      </c>
      <c r="F208" s="99">
        <f>SUM(G208:K208)</f>
        <v>523008</v>
      </c>
      <c r="G208" s="99"/>
      <c r="H208" s="99"/>
      <c r="I208" s="99"/>
      <c r="J208" s="99"/>
      <c r="K208" s="99">
        <f>K209+K211</f>
        <v>523008</v>
      </c>
      <c r="L208" s="99"/>
      <c r="M208" s="147"/>
      <c r="N208" s="99"/>
      <c r="O208" s="99"/>
      <c r="P208" s="99"/>
      <c r="Q208" s="99"/>
      <c r="R208" s="99"/>
      <c r="S208" s="99"/>
      <c r="T208" s="99"/>
      <c r="U208" s="99"/>
      <c r="V208" s="147">
        <f t="shared" si="62"/>
        <v>523008</v>
      </c>
    </row>
    <row r="209" spans="1:22" ht="64.5" customHeight="1">
      <c r="A209" s="44" t="s">
        <v>296</v>
      </c>
      <c r="B209" s="101">
        <v>3171</v>
      </c>
      <c r="C209" s="184" t="s">
        <v>103</v>
      </c>
      <c r="D209" s="186" t="s">
        <v>297</v>
      </c>
      <c r="E209" s="147">
        <f t="shared" si="61"/>
        <v>521963</v>
      </c>
      <c r="F209" s="99">
        <f t="shared" si="65"/>
        <v>521963</v>
      </c>
      <c r="G209" s="149"/>
      <c r="H209" s="149"/>
      <c r="I209" s="149"/>
      <c r="J209" s="149"/>
      <c r="K209" s="149">
        <v>521963</v>
      </c>
      <c r="L209" s="149"/>
      <c r="M209" s="147"/>
      <c r="N209" s="149"/>
      <c r="O209" s="149"/>
      <c r="P209" s="149"/>
      <c r="Q209" s="149"/>
      <c r="R209" s="149"/>
      <c r="S209" s="149"/>
      <c r="T209" s="149"/>
      <c r="U209" s="149"/>
      <c r="V209" s="147">
        <f t="shared" si="62"/>
        <v>521963</v>
      </c>
    </row>
    <row r="210" spans="1:22" ht="15">
      <c r="A210" s="44"/>
      <c r="B210" s="101"/>
      <c r="C210" s="184"/>
      <c r="D210" s="157" t="s">
        <v>302</v>
      </c>
      <c r="E210" s="147">
        <f t="shared" si="61"/>
        <v>521963</v>
      </c>
      <c r="F210" s="99">
        <f t="shared" si="65"/>
        <v>521963</v>
      </c>
      <c r="G210" s="149"/>
      <c r="H210" s="149"/>
      <c r="I210" s="149"/>
      <c r="J210" s="149"/>
      <c r="K210" s="149">
        <f>K209</f>
        <v>521963</v>
      </c>
      <c r="L210" s="149"/>
      <c r="M210" s="147"/>
      <c r="N210" s="149"/>
      <c r="O210" s="149"/>
      <c r="P210" s="149"/>
      <c r="Q210" s="149"/>
      <c r="R210" s="149"/>
      <c r="S210" s="149"/>
      <c r="T210" s="149"/>
      <c r="U210" s="149"/>
      <c r="V210" s="147">
        <f aca="true" t="shared" si="66" ref="V210:V258">M210+E210</f>
        <v>521963</v>
      </c>
    </row>
    <row r="211" spans="1:22" ht="31.5" customHeight="1">
      <c r="A211" s="44" t="s">
        <v>298</v>
      </c>
      <c r="B211" s="101">
        <v>3172</v>
      </c>
      <c r="C211" s="184" t="s">
        <v>103</v>
      </c>
      <c r="D211" s="185" t="s">
        <v>299</v>
      </c>
      <c r="E211" s="147">
        <f t="shared" si="61"/>
        <v>1045</v>
      </c>
      <c r="F211" s="99">
        <f t="shared" si="65"/>
        <v>1045</v>
      </c>
      <c r="G211" s="149"/>
      <c r="H211" s="149"/>
      <c r="I211" s="149"/>
      <c r="J211" s="149"/>
      <c r="K211" s="149">
        <v>1045</v>
      </c>
      <c r="L211" s="149"/>
      <c r="M211" s="147"/>
      <c r="N211" s="149"/>
      <c r="O211" s="149"/>
      <c r="P211" s="149"/>
      <c r="Q211" s="149"/>
      <c r="R211" s="149"/>
      <c r="S211" s="149"/>
      <c r="T211" s="149"/>
      <c r="U211" s="149"/>
      <c r="V211" s="147">
        <f t="shared" si="66"/>
        <v>1045</v>
      </c>
    </row>
    <row r="212" spans="1:22" ht="15">
      <c r="A212" s="44"/>
      <c r="B212" s="101"/>
      <c r="C212" s="184"/>
      <c r="D212" s="157" t="s">
        <v>302</v>
      </c>
      <c r="E212" s="147">
        <f t="shared" si="61"/>
        <v>1045</v>
      </c>
      <c r="F212" s="99">
        <f t="shared" si="65"/>
        <v>1045</v>
      </c>
      <c r="G212" s="149"/>
      <c r="H212" s="149"/>
      <c r="I212" s="149"/>
      <c r="J212" s="149"/>
      <c r="K212" s="149">
        <f>K211</f>
        <v>1045</v>
      </c>
      <c r="L212" s="149"/>
      <c r="M212" s="147"/>
      <c r="N212" s="149"/>
      <c r="O212" s="149"/>
      <c r="P212" s="149"/>
      <c r="Q212" s="149"/>
      <c r="R212" s="149"/>
      <c r="S212" s="149"/>
      <c r="T212" s="149"/>
      <c r="U212" s="149"/>
      <c r="V212" s="147">
        <f t="shared" si="66"/>
        <v>1045</v>
      </c>
    </row>
    <row r="213" spans="1:22" ht="87" customHeight="1">
      <c r="A213" s="44" t="s">
        <v>589</v>
      </c>
      <c r="B213" s="101">
        <v>3180</v>
      </c>
      <c r="C213" s="184">
        <v>1060</v>
      </c>
      <c r="D213" s="186" t="s">
        <v>382</v>
      </c>
      <c r="E213" s="147">
        <f aca="true" t="shared" si="67" ref="E213:E230">F213+L213</f>
        <v>2096440</v>
      </c>
      <c r="F213" s="99">
        <f t="shared" si="65"/>
        <v>2096440</v>
      </c>
      <c r="G213" s="149"/>
      <c r="H213" s="149"/>
      <c r="I213" s="149"/>
      <c r="J213" s="149"/>
      <c r="K213" s="149">
        <v>2096440</v>
      </c>
      <c r="L213" s="149"/>
      <c r="M213" s="147"/>
      <c r="N213" s="149"/>
      <c r="O213" s="149"/>
      <c r="P213" s="149"/>
      <c r="Q213" s="149"/>
      <c r="R213" s="149"/>
      <c r="S213" s="149"/>
      <c r="T213" s="149"/>
      <c r="U213" s="149"/>
      <c r="V213" s="147">
        <f t="shared" si="66"/>
        <v>2096440</v>
      </c>
    </row>
    <row r="214" spans="1:22" ht="15" hidden="1">
      <c r="A214" s="44" t="s">
        <v>70</v>
      </c>
      <c r="B214" s="101">
        <v>3190</v>
      </c>
      <c r="C214" s="184"/>
      <c r="D214" s="186" t="s">
        <v>800</v>
      </c>
      <c r="E214" s="147">
        <f t="shared" si="67"/>
        <v>871298</v>
      </c>
      <c r="F214" s="99">
        <f t="shared" si="65"/>
        <v>871298</v>
      </c>
      <c r="G214" s="149"/>
      <c r="H214" s="149"/>
      <c r="I214" s="149"/>
      <c r="J214" s="149"/>
      <c r="K214" s="149">
        <f>K215</f>
        <v>871298</v>
      </c>
      <c r="L214" s="149"/>
      <c r="M214" s="147"/>
      <c r="N214" s="149"/>
      <c r="O214" s="149"/>
      <c r="P214" s="149"/>
      <c r="Q214" s="149"/>
      <c r="R214" s="149"/>
      <c r="S214" s="149"/>
      <c r="T214" s="149"/>
      <c r="U214" s="149"/>
      <c r="V214" s="147">
        <f t="shared" si="66"/>
        <v>871298</v>
      </c>
    </row>
    <row r="215" spans="1:22" ht="45" customHeight="1">
      <c r="A215" s="44" t="s">
        <v>71</v>
      </c>
      <c r="B215" s="101">
        <v>3192</v>
      </c>
      <c r="C215" s="184" t="s">
        <v>902</v>
      </c>
      <c r="D215" s="186" t="s">
        <v>320</v>
      </c>
      <c r="E215" s="147">
        <f t="shared" si="67"/>
        <v>871298</v>
      </c>
      <c r="F215" s="99">
        <f t="shared" si="65"/>
        <v>871298</v>
      </c>
      <c r="G215" s="149"/>
      <c r="H215" s="149"/>
      <c r="I215" s="149"/>
      <c r="J215" s="149"/>
      <c r="K215" s="149">
        <v>871298</v>
      </c>
      <c r="L215" s="149"/>
      <c r="M215" s="147"/>
      <c r="N215" s="149"/>
      <c r="O215" s="149"/>
      <c r="P215" s="149"/>
      <c r="Q215" s="149"/>
      <c r="R215" s="149"/>
      <c r="S215" s="149"/>
      <c r="T215" s="149"/>
      <c r="U215" s="149"/>
      <c r="V215" s="147">
        <f t="shared" si="66"/>
        <v>871298</v>
      </c>
    </row>
    <row r="216" spans="1:22" ht="18" customHeight="1">
      <c r="A216" s="44" t="s">
        <v>300</v>
      </c>
      <c r="B216" s="101">
        <v>3210</v>
      </c>
      <c r="C216" s="184" t="s">
        <v>827</v>
      </c>
      <c r="D216" s="186" t="s">
        <v>545</v>
      </c>
      <c r="E216" s="147">
        <f t="shared" si="67"/>
        <v>575000</v>
      </c>
      <c r="F216" s="99">
        <f t="shared" si="65"/>
        <v>575000</v>
      </c>
      <c r="G216" s="149">
        <v>575000</v>
      </c>
      <c r="H216" s="149"/>
      <c r="I216" s="149"/>
      <c r="J216" s="149"/>
      <c r="K216" s="149"/>
      <c r="L216" s="149"/>
      <c r="M216" s="147"/>
      <c r="N216" s="149"/>
      <c r="O216" s="149"/>
      <c r="P216" s="149"/>
      <c r="Q216" s="149"/>
      <c r="R216" s="149"/>
      <c r="S216" s="149"/>
      <c r="T216" s="149"/>
      <c r="U216" s="149"/>
      <c r="V216" s="147">
        <f t="shared" si="66"/>
        <v>575000</v>
      </c>
    </row>
    <row r="217" spans="1:22" ht="33" customHeight="1" hidden="1">
      <c r="A217" s="44"/>
      <c r="B217" s="101"/>
      <c r="C217" s="184"/>
      <c r="D217" s="190" t="s">
        <v>85</v>
      </c>
      <c r="E217" s="156">
        <f t="shared" si="67"/>
        <v>0</v>
      </c>
      <c r="F217" s="162">
        <f t="shared" si="65"/>
        <v>0</v>
      </c>
      <c r="G217" s="149"/>
      <c r="H217" s="149"/>
      <c r="I217" s="149"/>
      <c r="J217" s="149"/>
      <c r="K217" s="152"/>
      <c r="L217" s="149"/>
      <c r="M217" s="147"/>
      <c r="N217" s="149"/>
      <c r="O217" s="149"/>
      <c r="P217" s="149"/>
      <c r="Q217" s="149"/>
      <c r="R217" s="149"/>
      <c r="S217" s="149"/>
      <c r="T217" s="149"/>
      <c r="U217" s="149"/>
      <c r="V217" s="147">
        <f t="shared" si="66"/>
        <v>0</v>
      </c>
    </row>
    <row r="218" spans="1:22" ht="277.5" customHeight="1" hidden="1">
      <c r="A218" s="44" t="s">
        <v>627</v>
      </c>
      <c r="B218" s="101">
        <v>3221</v>
      </c>
      <c r="C218" s="184" t="s">
        <v>355</v>
      </c>
      <c r="D218" s="265" t="s">
        <v>29</v>
      </c>
      <c r="E218" s="156"/>
      <c r="F218" s="162"/>
      <c r="G218" s="149"/>
      <c r="H218" s="149"/>
      <c r="I218" s="149"/>
      <c r="J218" s="149"/>
      <c r="K218" s="152"/>
      <c r="L218" s="149"/>
      <c r="M218" s="147">
        <f aca="true" t="shared" si="68" ref="M218:M225">O218+T218</f>
        <v>0</v>
      </c>
      <c r="N218" s="149">
        <f>T218</f>
        <v>0</v>
      </c>
      <c r="O218" s="149"/>
      <c r="P218" s="149"/>
      <c r="Q218" s="149"/>
      <c r="R218" s="149"/>
      <c r="S218" s="149"/>
      <c r="T218" s="149"/>
      <c r="U218" s="149">
        <f>T218</f>
        <v>0</v>
      </c>
      <c r="V218" s="147">
        <f t="shared" si="66"/>
        <v>0</v>
      </c>
    </row>
    <row r="219" spans="1:22" ht="33" customHeight="1" hidden="1">
      <c r="A219" s="44"/>
      <c r="B219" s="101"/>
      <c r="C219" s="184"/>
      <c r="D219" s="190" t="s">
        <v>628</v>
      </c>
      <c r="E219" s="156"/>
      <c r="F219" s="162"/>
      <c r="G219" s="149"/>
      <c r="H219" s="149"/>
      <c r="I219" s="149"/>
      <c r="J219" s="149"/>
      <c r="K219" s="152"/>
      <c r="L219" s="149"/>
      <c r="M219" s="147">
        <f t="shared" si="68"/>
        <v>0</v>
      </c>
      <c r="N219" s="152">
        <f>N218</f>
        <v>0</v>
      </c>
      <c r="O219" s="149"/>
      <c r="P219" s="149"/>
      <c r="Q219" s="149"/>
      <c r="R219" s="149"/>
      <c r="S219" s="149"/>
      <c r="T219" s="152">
        <f>T218</f>
        <v>0</v>
      </c>
      <c r="U219" s="152">
        <f>U218</f>
        <v>0</v>
      </c>
      <c r="V219" s="147">
        <f t="shared" si="66"/>
        <v>0</v>
      </c>
    </row>
    <row r="220" spans="1:22" ht="345" customHeight="1" hidden="1">
      <c r="A220" s="44" t="s">
        <v>30</v>
      </c>
      <c r="B220" s="101">
        <v>3222</v>
      </c>
      <c r="C220" s="184" t="s">
        <v>355</v>
      </c>
      <c r="D220" s="265" t="s">
        <v>31</v>
      </c>
      <c r="E220" s="156"/>
      <c r="F220" s="162"/>
      <c r="G220" s="149"/>
      <c r="H220" s="149"/>
      <c r="I220" s="149"/>
      <c r="J220" s="149"/>
      <c r="K220" s="152"/>
      <c r="L220" s="149"/>
      <c r="M220" s="147">
        <f t="shared" si="68"/>
        <v>0</v>
      </c>
      <c r="N220" s="149">
        <f>T220</f>
        <v>0</v>
      </c>
      <c r="O220" s="149"/>
      <c r="P220" s="149"/>
      <c r="Q220" s="149"/>
      <c r="R220" s="149"/>
      <c r="S220" s="149"/>
      <c r="T220" s="149"/>
      <c r="U220" s="149">
        <f>T220</f>
        <v>0</v>
      </c>
      <c r="V220" s="147">
        <f aca="true" t="shared" si="69" ref="V220:V225">M220+E220</f>
        <v>0</v>
      </c>
    </row>
    <row r="221" spans="1:22" ht="33" customHeight="1" hidden="1">
      <c r="A221" s="44"/>
      <c r="B221" s="101"/>
      <c r="C221" s="184"/>
      <c r="D221" s="190" t="s">
        <v>628</v>
      </c>
      <c r="E221" s="156"/>
      <c r="F221" s="162"/>
      <c r="G221" s="149"/>
      <c r="H221" s="149"/>
      <c r="I221" s="149"/>
      <c r="J221" s="149"/>
      <c r="K221" s="152"/>
      <c r="L221" s="149"/>
      <c r="M221" s="147">
        <f t="shared" si="68"/>
        <v>0</v>
      </c>
      <c r="N221" s="152">
        <f>N220</f>
        <v>0</v>
      </c>
      <c r="O221" s="149"/>
      <c r="P221" s="149"/>
      <c r="Q221" s="149"/>
      <c r="R221" s="149"/>
      <c r="S221" s="149"/>
      <c r="T221" s="152">
        <f>T220</f>
        <v>0</v>
      </c>
      <c r="U221" s="152">
        <f>U220</f>
        <v>0</v>
      </c>
      <c r="V221" s="147">
        <f t="shared" si="69"/>
        <v>0</v>
      </c>
    </row>
    <row r="222" spans="1:22" ht="223.5" customHeight="1" hidden="1">
      <c r="A222" s="44" t="s">
        <v>32</v>
      </c>
      <c r="B222" s="101">
        <v>3223</v>
      </c>
      <c r="C222" s="184" t="s">
        <v>355</v>
      </c>
      <c r="D222" s="265" t="s">
        <v>33</v>
      </c>
      <c r="E222" s="156"/>
      <c r="F222" s="162"/>
      <c r="G222" s="149"/>
      <c r="H222" s="149"/>
      <c r="I222" s="149"/>
      <c r="J222" s="149"/>
      <c r="K222" s="152"/>
      <c r="L222" s="149"/>
      <c r="M222" s="147">
        <f t="shared" si="68"/>
        <v>0</v>
      </c>
      <c r="N222" s="149">
        <f>T222</f>
        <v>0</v>
      </c>
      <c r="O222" s="149"/>
      <c r="P222" s="149"/>
      <c r="Q222" s="149"/>
      <c r="R222" s="149"/>
      <c r="S222" s="149"/>
      <c r="T222" s="149"/>
      <c r="U222" s="149">
        <f>T222</f>
        <v>0</v>
      </c>
      <c r="V222" s="147">
        <f t="shared" si="69"/>
        <v>0</v>
      </c>
    </row>
    <row r="223" spans="1:22" ht="33" customHeight="1" hidden="1">
      <c r="A223" s="44"/>
      <c r="B223" s="101"/>
      <c r="C223" s="184"/>
      <c r="D223" s="190" t="s">
        <v>628</v>
      </c>
      <c r="E223" s="156"/>
      <c r="F223" s="162"/>
      <c r="G223" s="149"/>
      <c r="H223" s="149"/>
      <c r="I223" s="149"/>
      <c r="J223" s="149"/>
      <c r="K223" s="152"/>
      <c r="L223" s="149"/>
      <c r="M223" s="147">
        <f t="shared" si="68"/>
        <v>0</v>
      </c>
      <c r="N223" s="152">
        <f>N222</f>
        <v>0</v>
      </c>
      <c r="O223" s="149"/>
      <c r="P223" s="149"/>
      <c r="Q223" s="149"/>
      <c r="R223" s="149"/>
      <c r="S223" s="149"/>
      <c r="T223" s="152">
        <f>T222</f>
        <v>0</v>
      </c>
      <c r="U223" s="152">
        <f>U222</f>
        <v>0</v>
      </c>
      <c r="V223" s="147">
        <f t="shared" si="69"/>
        <v>0</v>
      </c>
    </row>
    <row r="224" spans="1:22" ht="192" customHeight="1" hidden="1">
      <c r="A224" s="44" t="s">
        <v>34</v>
      </c>
      <c r="B224" s="101">
        <v>3224</v>
      </c>
      <c r="C224" s="184" t="s">
        <v>355</v>
      </c>
      <c r="D224" s="265" t="s">
        <v>35</v>
      </c>
      <c r="E224" s="156"/>
      <c r="F224" s="162"/>
      <c r="G224" s="149"/>
      <c r="H224" s="149"/>
      <c r="I224" s="149"/>
      <c r="J224" s="149"/>
      <c r="K224" s="152"/>
      <c r="L224" s="149"/>
      <c r="M224" s="147">
        <f t="shared" si="68"/>
        <v>0</v>
      </c>
      <c r="N224" s="149">
        <f>T224</f>
        <v>0</v>
      </c>
      <c r="O224" s="149"/>
      <c r="P224" s="149"/>
      <c r="Q224" s="149"/>
      <c r="R224" s="149"/>
      <c r="S224" s="149"/>
      <c r="T224" s="149"/>
      <c r="U224" s="149">
        <f>T224</f>
        <v>0</v>
      </c>
      <c r="V224" s="147">
        <f t="shared" si="69"/>
        <v>0</v>
      </c>
    </row>
    <row r="225" spans="1:22" ht="33" customHeight="1" hidden="1">
      <c r="A225" s="44"/>
      <c r="B225" s="101"/>
      <c r="C225" s="184"/>
      <c r="D225" s="190" t="s">
        <v>628</v>
      </c>
      <c r="E225" s="156"/>
      <c r="F225" s="162"/>
      <c r="G225" s="149"/>
      <c r="H225" s="149"/>
      <c r="I225" s="149"/>
      <c r="J225" s="149"/>
      <c r="K225" s="152"/>
      <c r="L225" s="149"/>
      <c r="M225" s="147">
        <f t="shared" si="68"/>
        <v>0</v>
      </c>
      <c r="N225" s="152">
        <f>N224</f>
        <v>0</v>
      </c>
      <c r="O225" s="149"/>
      <c r="P225" s="149"/>
      <c r="Q225" s="149"/>
      <c r="R225" s="149"/>
      <c r="S225" s="149"/>
      <c r="T225" s="152">
        <f>T224</f>
        <v>0</v>
      </c>
      <c r="U225" s="152">
        <f>U224</f>
        <v>0</v>
      </c>
      <c r="V225" s="147">
        <f t="shared" si="69"/>
        <v>0</v>
      </c>
    </row>
    <row r="226" spans="1:22" ht="212.25" customHeight="1" hidden="1">
      <c r="A226" s="44" t="s">
        <v>420</v>
      </c>
      <c r="B226" s="101">
        <v>3230</v>
      </c>
      <c r="C226" s="195">
        <v>1040</v>
      </c>
      <c r="D226" s="259" t="s">
        <v>692</v>
      </c>
      <c r="E226" s="147">
        <f t="shared" si="67"/>
        <v>0</v>
      </c>
      <c r="F226" s="99">
        <f t="shared" si="65"/>
        <v>0</v>
      </c>
      <c r="G226" s="149"/>
      <c r="H226" s="149"/>
      <c r="I226" s="149"/>
      <c r="J226" s="149"/>
      <c r="K226" s="149"/>
      <c r="L226" s="149"/>
      <c r="M226" s="147"/>
      <c r="N226" s="149"/>
      <c r="O226" s="149"/>
      <c r="P226" s="149"/>
      <c r="Q226" s="149"/>
      <c r="R226" s="149"/>
      <c r="S226" s="149"/>
      <c r="T226" s="149"/>
      <c r="U226" s="149"/>
      <c r="V226" s="147">
        <f t="shared" si="66"/>
        <v>0</v>
      </c>
    </row>
    <row r="227" spans="1:22" s="154" customFormat="1" ht="28.5" hidden="1">
      <c r="A227" s="47"/>
      <c r="B227" s="121"/>
      <c r="C227" s="194"/>
      <c r="D227" s="157" t="s">
        <v>917</v>
      </c>
      <c r="E227" s="156">
        <f t="shared" si="67"/>
        <v>0</v>
      </c>
      <c r="F227" s="162">
        <f>F226</f>
        <v>0</v>
      </c>
      <c r="G227" s="152"/>
      <c r="H227" s="152"/>
      <c r="I227" s="152"/>
      <c r="J227" s="152"/>
      <c r="K227" s="152">
        <f>K226</f>
        <v>0</v>
      </c>
      <c r="L227" s="152"/>
      <c r="M227" s="156"/>
      <c r="N227" s="152"/>
      <c r="O227" s="152"/>
      <c r="P227" s="152"/>
      <c r="Q227" s="152"/>
      <c r="R227" s="152"/>
      <c r="S227" s="152"/>
      <c r="T227" s="152"/>
      <c r="U227" s="152"/>
      <c r="V227" s="156">
        <f t="shared" si="66"/>
        <v>0</v>
      </c>
    </row>
    <row r="228" spans="1:22" ht="15" customHeight="1" hidden="1">
      <c r="A228" s="44" t="s">
        <v>73</v>
      </c>
      <c r="B228" s="101">
        <v>3240</v>
      </c>
      <c r="C228" s="184"/>
      <c r="D228" s="186" t="s">
        <v>379</v>
      </c>
      <c r="E228" s="147">
        <f t="shared" si="67"/>
        <v>26657482.51</v>
      </c>
      <c r="F228" s="99">
        <f>SUM(G228:K228)</f>
        <v>26657482.51</v>
      </c>
      <c r="G228" s="149"/>
      <c r="H228" s="149"/>
      <c r="I228" s="149">
        <f>I229</f>
        <v>183120</v>
      </c>
      <c r="J228" s="149"/>
      <c r="K228" s="149">
        <f>K229</f>
        <v>26474362.51</v>
      </c>
      <c r="L228" s="149"/>
      <c r="M228" s="147">
        <f>O228+T228</f>
        <v>0</v>
      </c>
      <c r="N228" s="149">
        <f>N229</f>
        <v>0</v>
      </c>
      <c r="O228" s="149"/>
      <c r="P228" s="149"/>
      <c r="Q228" s="149"/>
      <c r="R228" s="149"/>
      <c r="S228" s="149"/>
      <c r="T228" s="149">
        <f>T229</f>
        <v>0</v>
      </c>
      <c r="U228" s="149">
        <f>U229</f>
        <v>0</v>
      </c>
      <c r="V228" s="147">
        <f t="shared" si="66"/>
        <v>26657482.51</v>
      </c>
    </row>
    <row r="229" spans="1:22" ht="35.25" customHeight="1">
      <c r="A229" s="44" t="s">
        <v>74</v>
      </c>
      <c r="B229" s="101">
        <v>3242</v>
      </c>
      <c r="C229" s="184" t="s">
        <v>824</v>
      </c>
      <c r="D229" s="186" t="s">
        <v>75</v>
      </c>
      <c r="E229" s="147">
        <f>F229+L229</f>
        <v>26657482.51</v>
      </c>
      <c r="F229" s="99">
        <f>SUM(G229:K229)</f>
        <v>26657482.51</v>
      </c>
      <c r="G229" s="149"/>
      <c r="H229" s="149"/>
      <c r="I229" s="149">
        <v>183120</v>
      </c>
      <c r="J229" s="149"/>
      <c r="K229" s="149">
        <f>26646452+528000-230209.9-69640-13050+66000-56097-94013-303079.59</f>
        <v>26474362.51</v>
      </c>
      <c r="L229" s="149"/>
      <c r="M229" s="147">
        <f>O229+T229</f>
        <v>0</v>
      </c>
      <c r="N229" s="149"/>
      <c r="O229" s="149"/>
      <c r="P229" s="149"/>
      <c r="Q229" s="149"/>
      <c r="R229" s="149"/>
      <c r="S229" s="149"/>
      <c r="T229" s="149"/>
      <c r="U229" s="149"/>
      <c r="V229" s="147">
        <f t="shared" si="66"/>
        <v>26657482.51</v>
      </c>
    </row>
    <row r="230" spans="1:22" ht="15.75">
      <c r="A230" s="44"/>
      <c r="B230" s="101"/>
      <c r="C230" s="184"/>
      <c r="D230" s="157" t="s">
        <v>302</v>
      </c>
      <c r="E230" s="147">
        <f t="shared" si="67"/>
        <v>608500</v>
      </c>
      <c r="F230" s="99">
        <f>SUM(G230:K230)</f>
        <v>608500</v>
      </c>
      <c r="G230" s="149"/>
      <c r="H230" s="149"/>
      <c r="I230" s="149"/>
      <c r="J230" s="149"/>
      <c r="K230" s="149">
        <f>528000+50000+30500</f>
        <v>608500</v>
      </c>
      <c r="L230" s="149"/>
      <c r="M230" s="147"/>
      <c r="N230" s="149"/>
      <c r="O230" s="149"/>
      <c r="P230" s="149"/>
      <c r="Q230" s="149"/>
      <c r="R230" s="149"/>
      <c r="S230" s="149"/>
      <c r="T230" s="149"/>
      <c r="U230" s="149"/>
      <c r="V230" s="156">
        <f t="shared" si="66"/>
        <v>608500</v>
      </c>
    </row>
    <row r="231" spans="1:22" s="154" customFormat="1" ht="41.25" hidden="1">
      <c r="A231" s="47"/>
      <c r="B231" s="121"/>
      <c r="C231" s="182"/>
      <c r="D231" s="49" t="s">
        <v>84</v>
      </c>
      <c r="E231" s="156"/>
      <c r="F231" s="162"/>
      <c r="G231" s="152"/>
      <c r="H231" s="152"/>
      <c r="I231" s="152"/>
      <c r="J231" s="152"/>
      <c r="K231" s="152"/>
      <c r="L231" s="152"/>
      <c r="M231" s="156">
        <f>O231+T231</f>
        <v>0</v>
      </c>
      <c r="N231" s="152"/>
      <c r="O231" s="152"/>
      <c r="P231" s="152"/>
      <c r="Q231" s="152"/>
      <c r="R231" s="152"/>
      <c r="S231" s="152"/>
      <c r="T231" s="152"/>
      <c r="U231" s="152"/>
      <c r="V231" s="156">
        <f t="shared" si="66"/>
        <v>0</v>
      </c>
    </row>
    <row r="232" spans="1:22" ht="69" hidden="1">
      <c r="A232" s="44" t="s">
        <v>630</v>
      </c>
      <c r="B232" s="101"/>
      <c r="C232" s="184" t="s">
        <v>328</v>
      </c>
      <c r="D232" s="46" t="s">
        <v>629</v>
      </c>
      <c r="E232" s="147"/>
      <c r="F232" s="99"/>
      <c r="G232" s="149"/>
      <c r="H232" s="149"/>
      <c r="I232" s="149"/>
      <c r="J232" s="149"/>
      <c r="K232" s="149"/>
      <c r="L232" s="149"/>
      <c r="M232" s="147">
        <f>O232+T232</f>
        <v>0</v>
      </c>
      <c r="N232" s="149"/>
      <c r="O232" s="149"/>
      <c r="P232" s="149"/>
      <c r="Q232" s="149"/>
      <c r="R232" s="149"/>
      <c r="S232" s="149"/>
      <c r="T232" s="149"/>
      <c r="U232" s="149"/>
      <c r="V232" s="147">
        <f t="shared" si="66"/>
        <v>0</v>
      </c>
    </row>
    <row r="233" spans="1:22" s="154" customFormat="1" ht="27" hidden="1">
      <c r="A233" s="47"/>
      <c r="B233" s="121"/>
      <c r="C233" s="182"/>
      <c r="D233" s="49" t="s">
        <v>628</v>
      </c>
      <c r="E233" s="156"/>
      <c r="F233" s="162"/>
      <c r="G233" s="152"/>
      <c r="H233" s="152"/>
      <c r="I233" s="152"/>
      <c r="J233" s="152"/>
      <c r="K233" s="152"/>
      <c r="L233" s="152"/>
      <c r="M233" s="156">
        <f>O233+T233</f>
        <v>0</v>
      </c>
      <c r="N233" s="152">
        <f>N232</f>
        <v>0</v>
      </c>
      <c r="O233" s="152"/>
      <c r="P233" s="152"/>
      <c r="Q233" s="152"/>
      <c r="R233" s="152"/>
      <c r="S233" s="152"/>
      <c r="T233" s="152">
        <f>T232</f>
        <v>0</v>
      </c>
      <c r="U233" s="152">
        <f>U232</f>
        <v>0</v>
      </c>
      <c r="V233" s="156">
        <f t="shared" si="66"/>
        <v>0</v>
      </c>
    </row>
    <row r="234" spans="1:22" ht="27">
      <c r="A234" s="44" t="s">
        <v>215</v>
      </c>
      <c r="B234" s="101">
        <v>7323</v>
      </c>
      <c r="C234" s="184" t="s">
        <v>758</v>
      </c>
      <c r="D234" s="46" t="s">
        <v>217</v>
      </c>
      <c r="E234" s="147"/>
      <c r="F234" s="99"/>
      <c r="G234" s="149"/>
      <c r="H234" s="149"/>
      <c r="I234" s="149"/>
      <c r="J234" s="149"/>
      <c r="K234" s="149"/>
      <c r="L234" s="149"/>
      <c r="M234" s="147">
        <f>O234+T234</f>
        <v>1395042</v>
      </c>
      <c r="N234" s="149">
        <f>T234</f>
        <v>1395042</v>
      </c>
      <c r="O234" s="149"/>
      <c r="P234" s="149"/>
      <c r="Q234" s="149"/>
      <c r="R234" s="149"/>
      <c r="S234" s="149"/>
      <c r="T234" s="149">
        <v>1395042</v>
      </c>
      <c r="U234" s="149"/>
      <c r="V234" s="147">
        <f t="shared" si="66"/>
        <v>1395042</v>
      </c>
    </row>
    <row r="235" spans="1:22" ht="27">
      <c r="A235" s="44" t="s">
        <v>216</v>
      </c>
      <c r="B235" s="101">
        <v>7330</v>
      </c>
      <c r="C235" s="184" t="s">
        <v>758</v>
      </c>
      <c r="D235" s="46" t="s">
        <v>212</v>
      </c>
      <c r="E235" s="147"/>
      <c r="F235" s="99"/>
      <c r="G235" s="149"/>
      <c r="H235" s="149"/>
      <c r="I235" s="149"/>
      <c r="J235" s="149"/>
      <c r="K235" s="149"/>
      <c r="L235" s="149"/>
      <c r="M235" s="147">
        <f>O235+T235</f>
        <v>1737242.5</v>
      </c>
      <c r="N235" s="149">
        <f>T235</f>
        <v>1737242.5</v>
      </c>
      <c r="O235" s="149"/>
      <c r="P235" s="149"/>
      <c r="Q235" s="149"/>
      <c r="R235" s="149"/>
      <c r="S235" s="149"/>
      <c r="T235" s="149">
        <v>1737242.5</v>
      </c>
      <c r="U235" s="149"/>
      <c r="V235" s="147">
        <f t="shared" si="66"/>
        <v>1737242.5</v>
      </c>
    </row>
    <row r="236" spans="1:22" s="97" customFormat="1" ht="15">
      <c r="A236" s="145" t="s">
        <v>141</v>
      </c>
      <c r="B236" s="329"/>
      <c r="C236" s="175"/>
      <c r="D236" s="159" t="s">
        <v>144</v>
      </c>
      <c r="E236" s="176">
        <f>E237</f>
        <v>7187063</v>
      </c>
      <c r="F236" s="176">
        <f>F237</f>
        <v>7187063</v>
      </c>
      <c r="G236" s="176">
        <f aca="true" t="shared" si="70" ref="G236:O237">G237</f>
        <v>7039593</v>
      </c>
      <c r="H236" s="176">
        <f t="shared" si="70"/>
        <v>0</v>
      </c>
      <c r="I236" s="176">
        <f t="shared" si="70"/>
        <v>0</v>
      </c>
      <c r="J236" s="176">
        <f t="shared" si="70"/>
        <v>0</v>
      </c>
      <c r="K236" s="176">
        <f t="shared" si="70"/>
        <v>147470</v>
      </c>
      <c r="L236" s="176">
        <f t="shared" si="70"/>
        <v>0</v>
      </c>
      <c r="M236" s="176">
        <f>M237</f>
        <v>0</v>
      </c>
      <c r="N236" s="176">
        <f aca="true" t="shared" si="71" ref="N236:U237">N237</f>
        <v>0</v>
      </c>
      <c r="O236" s="176">
        <f t="shared" si="70"/>
        <v>0</v>
      </c>
      <c r="P236" s="176">
        <f t="shared" si="71"/>
        <v>0</v>
      </c>
      <c r="Q236" s="176">
        <f t="shared" si="71"/>
        <v>0</v>
      </c>
      <c r="R236" s="176">
        <f t="shared" si="71"/>
        <v>0</v>
      </c>
      <c r="S236" s="176">
        <f t="shared" si="71"/>
        <v>0</v>
      </c>
      <c r="T236" s="176">
        <f t="shared" si="71"/>
        <v>0</v>
      </c>
      <c r="U236" s="176">
        <f t="shared" si="71"/>
        <v>0</v>
      </c>
      <c r="V236" s="147">
        <f>V237</f>
        <v>7187063</v>
      </c>
    </row>
    <row r="237" spans="1:22" s="97" customFormat="1" ht="15">
      <c r="A237" s="145" t="s">
        <v>142</v>
      </c>
      <c r="B237" s="329"/>
      <c r="C237" s="175"/>
      <c r="D237" s="159" t="s">
        <v>144</v>
      </c>
      <c r="E237" s="176">
        <f>E238</f>
        <v>7187063</v>
      </c>
      <c r="F237" s="176">
        <f>F238</f>
        <v>7187063</v>
      </c>
      <c r="G237" s="176">
        <f t="shared" si="70"/>
        <v>7039593</v>
      </c>
      <c r="H237" s="176">
        <f t="shared" si="70"/>
        <v>0</v>
      </c>
      <c r="I237" s="176">
        <f t="shared" si="70"/>
        <v>0</v>
      </c>
      <c r="J237" s="176">
        <f t="shared" si="70"/>
        <v>0</v>
      </c>
      <c r="K237" s="176">
        <f t="shared" si="70"/>
        <v>147470</v>
      </c>
      <c r="L237" s="176">
        <f t="shared" si="70"/>
        <v>0</v>
      </c>
      <c r="M237" s="176">
        <f>M238</f>
        <v>0</v>
      </c>
      <c r="N237" s="176">
        <f>N238</f>
        <v>0</v>
      </c>
      <c r="O237" s="176">
        <f t="shared" si="70"/>
        <v>0</v>
      </c>
      <c r="P237" s="176">
        <f t="shared" si="71"/>
        <v>0</v>
      </c>
      <c r="Q237" s="176">
        <f t="shared" si="71"/>
        <v>0</v>
      </c>
      <c r="R237" s="176">
        <f t="shared" si="71"/>
        <v>0</v>
      </c>
      <c r="S237" s="176">
        <f t="shared" si="71"/>
        <v>0</v>
      </c>
      <c r="T237" s="176">
        <f t="shared" si="71"/>
        <v>0</v>
      </c>
      <c r="U237" s="176">
        <f t="shared" si="71"/>
        <v>0</v>
      </c>
      <c r="V237" s="147">
        <f>V238</f>
        <v>7187063</v>
      </c>
    </row>
    <row r="238" spans="1:22" ht="46.5" customHeight="1">
      <c r="A238" s="44" t="s">
        <v>143</v>
      </c>
      <c r="B238" s="109" t="s">
        <v>367</v>
      </c>
      <c r="C238" s="109" t="s">
        <v>105</v>
      </c>
      <c r="D238" s="148" t="s">
        <v>360</v>
      </c>
      <c r="E238" s="147">
        <f>F238</f>
        <v>7187063</v>
      </c>
      <c r="F238" s="149">
        <f>SUM(G238:K238)</f>
        <v>7187063</v>
      </c>
      <c r="G238" s="149">
        <v>7039593</v>
      </c>
      <c r="H238" s="150"/>
      <c r="I238" s="150"/>
      <c r="J238" s="149"/>
      <c r="K238" s="149">
        <v>147470</v>
      </c>
      <c r="L238" s="150"/>
      <c r="M238" s="147">
        <f>SUM(O238,T238)</f>
        <v>0</v>
      </c>
      <c r="N238" s="149"/>
      <c r="O238" s="150"/>
      <c r="P238" s="150"/>
      <c r="Q238" s="150"/>
      <c r="R238" s="150"/>
      <c r="S238" s="150"/>
      <c r="T238" s="149"/>
      <c r="U238" s="149"/>
      <c r="V238" s="147">
        <f t="shared" si="66"/>
        <v>7187063</v>
      </c>
    </row>
    <row r="239" spans="1:22" s="97" customFormat="1" ht="33" customHeight="1">
      <c r="A239" s="145" t="s">
        <v>584</v>
      </c>
      <c r="B239" s="158"/>
      <c r="C239" s="158"/>
      <c r="D239" s="196" t="s">
        <v>803</v>
      </c>
      <c r="E239" s="147">
        <f aca="true" t="shared" si="72" ref="E239:U239">E240</f>
        <v>279652235.78999996</v>
      </c>
      <c r="F239" s="147">
        <f t="shared" si="72"/>
        <v>113124328.86</v>
      </c>
      <c r="G239" s="147">
        <f t="shared" si="72"/>
        <v>18481334</v>
      </c>
      <c r="H239" s="147">
        <f t="shared" si="72"/>
        <v>0</v>
      </c>
      <c r="I239" s="147">
        <f t="shared" si="72"/>
        <v>0</v>
      </c>
      <c r="J239" s="147">
        <f t="shared" si="72"/>
        <v>17266671</v>
      </c>
      <c r="K239" s="147">
        <f t="shared" si="72"/>
        <v>77376323.86</v>
      </c>
      <c r="L239" s="147">
        <f t="shared" si="72"/>
        <v>166527906.93</v>
      </c>
      <c r="M239" s="147">
        <f t="shared" si="72"/>
        <v>186690198.79</v>
      </c>
      <c r="N239" s="147">
        <f t="shared" si="72"/>
        <v>169450600.58</v>
      </c>
      <c r="O239" s="147">
        <f t="shared" si="72"/>
        <v>11517198.21</v>
      </c>
      <c r="P239" s="147">
        <f t="shared" si="72"/>
        <v>0</v>
      </c>
      <c r="Q239" s="147">
        <f t="shared" si="72"/>
        <v>0</v>
      </c>
      <c r="R239" s="147">
        <f t="shared" si="72"/>
        <v>0</v>
      </c>
      <c r="S239" s="147">
        <f t="shared" si="72"/>
        <v>0</v>
      </c>
      <c r="T239" s="147">
        <f t="shared" si="72"/>
        <v>175173000.58</v>
      </c>
      <c r="U239" s="147">
        <f t="shared" si="72"/>
        <v>160972657.93</v>
      </c>
      <c r="V239" s="147">
        <f t="shared" si="66"/>
        <v>466342434.5799999</v>
      </c>
    </row>
    <row r="240" spans="1:24" s="97" customFormat="1" ht="33" customHeight="1">
      <c r="A240" s="145" t="s">
        <v>585</v>
      </c>
      <c r="B240" s="158"/>
      <c r="C240" s="158"/>
      <c r="D240" s="196" t="s">
        <v>347</v>
      </c>
      <c r="E240" s="147">
        <f>E241+E243+E253+E264+E275+E276+E270+E242</f>
        <v>279652235.78999996</v>
      </c>
      <c r="F240" s="147">
        <f>F241+F243+F253+F264+F275+F276+F270+F242</f>
        <v>113124328.86</v>
      </c>
      <c r="G240" s="147">
        <f>G241+G243+G253+G264+G275+G242</f>
        <v>18481334</v>
      </c>
      <c r="H240" s="147">
        <f>H241+H243+H253+H264+H275</f>
        <v>0</v>
      </c>
      <c r="I240" s="147">
        <f>I241+I243+I253+I264+I275</f>
        <v>0</v>
      </c>
      <c r="J240" s="147">
        <f>J241+J243+J253+J264+J275+J242</f>
        <v>17266671</v>
      </c>
      <c r="K240" s="147">
        <f>K241+K243+K253+K264+K275+K276+K242</f>
        <v>77376323.86</v>
      </c>
      <c r="L240" s="147">
        <f>L241+L243+L253+L264+L275+L242</f>
        <v>166527906.93</v>
      </c>
      <c r="M240" s="147">
        <f>M241+M243+M253+M264+M272+M276+M268+M270</f>
        <v>186690198.79</v>
      </c>
      <c r="N240" s="147">
        <f>N241+N243+N253+N264+N272+N276+N268</f>
        <v>169450600.58</v>
      </c>
      <c r="O240" s="147">
        <f>O241+O243+O253+O264+O272</f>
        <v>11517198.21</v>
      </c>
      <c r="P240" s="147">
        <f>P241+P243+P253+P264+P272</f>
        <v>0</v>
      </c>
      <c r="Q240" s="147">
        <f>Q241+Q243+Q253+Q264+Q272</f>
        <v>0</v>
      </c>
      <c r="R240" s="147">
        <f>R241+R243+R253+R264+R272</f>
        <v>0</v>
      </c>
      <c r="S240" s="147">
        <f>S241+S243+S253+S264+S272</f>
        <v>0</v>
      </c>
      <c r="T240" s="147">
        <f>T241+T243+T253+T264+T272+T276+T268+T270</f>
        <v>175173000.58</v>
      </c>
      <c r="U240" s="147">
        <f>U241+U243+U253+U264+U272+U276</f>
        <v>160972657.93</v>
      </c>
      <c r="V240" s="147">
        <f>M240+E240</f>
        <v>466342434.5799999</v>
      </c>
      <c r="X240" s="308"/>
    </row>
    <row r="241" spans="1:22" ht="45.75" customHeight="1">
      <c r="A241" s="44" t="s">
        <v>586</v>
      </c>
      <c r="B241" s="109" t="s">
        <v>367</v>
      </c>
      <c r="C241" s="109" t="s">
        <v>105</v>
      </c>
      <c r="D241" s="148" t="s">
        <v>360</v>
      </c>
      <c r="E241" s="147">
        <f>F241</f>
        <v>16742631</v>
      </c>
      <c r="F241" s="149">
        <f>SUM(G241:K241)</f>
        <v>16742631</v>
      </c>
      <c r="G241" s="149">
        <v>16205810</v>
      </c>
      <c r="H241" s="149"/>
      <c r="I241" s="149"/>
      <c r="J241" s="149"/>
      <c r="K241" s="149">
        <v>536821</v>
      </c>
      <c r="L241" s="149"/>
      <c r="M241" s="147">
        <f>O241+T241</f>
        <v>60000</v>
      </c>
      <c r="N241" s="149"/>
      <c r="O241" s="149">
        <v>39600</v>
      </c>
      <c r="P241" s="149"/>
      <c r="Q241" s="149"/>
      <c r="R241" s="149"/>
      <c r="S241" s="149"/>
      <c r="T241" s="149">
        <f>20400</f>
        <v>20400</v>
      </c>
      <c r="U241" s="149"/>
      <c r="V241" s="147">
        <f t="shared" si="66"/>
        <v>16802631</v>
      </c>
    </row>
    <row r="242" spans="1:22" ht="45" customHeight="1" hidden="1">
      <c r="A242" s="44" t="s">
        <v>79</v>
      </c>
      <c r="B242" s="109" t="s">
        <v>80</v>
      </c>
      <c r="C242" s="109" t="s">
        <v>820</v>
      </c>
      <c r="D242" s="148" t="s">
        <v>688</v>
      </c>
      <c r="E242" s="147">
        <f>F242+L242</f>
        <v>0</v>
      </c>
      <c r="F242" s="149">
        <f>SUM(G242:K242)</f>
        <v>0</v>
      </c>
      <c r="G242" s="149"/>
      <c r="H242" s="149"/>
      <c r="I242" s="149"/>
      <c r="J242" s="149"/>
      <c r="K242" s="149"/>
      <c r="L242" s="149"/>
      <c r="M242" s="147"/>
      <c r="N242" s="149"/>
      <c r="O242" s="149"/>
      <c r="P242" s="149"/>
      <c r="Q242" s="149"/>
      <c r="R242" s="149"/>
      <c r="S242" s="149"/>
      <c r="T242" s="149"/>
      <c r="U242" s="149"/>
      <c r="V242" s="147">
        <f t="shared" si="66"/>
        <v>0</v>
      </c>
    </row>
    <row r="243" spans="1:22" ht="19.5" customHeight="1">
      <c r="A243" s="44" t="s">
        <v>587</v>
      </c>
      <c r="B243" s="109" t="s">
        <v>348</v>
      </c>
      <c r="C243" s="44"/>
      <c r="D243" s="161" t="s">
        <v>349</v>
      </c>
      <c r="E243" s="147">
        <f aca="true" t="shared" si="73" ref="E243:K243">SUM(E244:E252)</f>
        <v>78670876.07</v>
      </c>
      <c r="F243" s="98">
        <f t="shared" si="73"/>
        <v>36374570.07</v>
      </c>
      <c r="G243" s="98">
        <f t="shared" si="73"/>
        <v>0</v>
      </c>
      <c r="H243" s="98">
        <f t="shared" si="73"/>
        <v>0</v>
      </c>
      <c r="I243" s="98">
        <f t="shared" si="73"/>
        <v>0</v>
      </c>
      <c r="J243" s="98">
        <f t="shared" si="73"/>
        <v>17215927</v>
      </c>
      <c r="K243" s="98">
        <f t="shared" si="73"/>
        <v>19158643.07</v>
      </c>
      <c r="L243" s="98">
        <f>SUM(L244:L252)</f>
        <v>42296306</v>
      </c>
      <c r="M243" s="147">
        <f>M244+M247+M248+M249+M252+M251</f>
        <v>31918000</v>
      </c>
      <c r="N243" s="98">
        <f>N244+N247+N248+N249+N252+N251</f>
        <v>31918000</v>
      </c>
      <c r="O243" s="98">
        <f>SUM(O249:O252)</f>
        <v>0</v>
      </c>
      <c r="P243" s="98">
        <f>SUM(P249:P252)</f>
        <v>0</v>
      </c>
      <c r="Q243" s="98">
        <f>SUM(Q249:Q252)</f>
        <v>0</v>
      </c>
      <c r="R243" s="98">
        <f>SUM(R249:R252)</f>
        <v>0</v>
      </c>
      <c r="S243" s="98">
        <f>SUM(S249:S252)</f>
        <v>0</v>
      </c>
      <c r="T243" s="98">
        <f>T244+T247+T248+T249+T252+T251</f>
        <v>31918000</v>
      </c>
      <c r="U243" s="98">
        <f>U244+U247+U248+U249+U252</f>
        <v>30803000</v>
      </c>
      <c r="V243" s="147">
        <f t="shared" si="66"/>
        <v>110588876.07</v>
      </c>
    </row>
    <row r="244" spans="1:22" ht="36" customHeight="1">
      <c r="A244" s="44" t="s">
        <v>485</v>
      </c>
      <c r="B244" s="109" t="s">
        <v>486</v>
      </c>
      <c r="C244" s="109" t="s">
        <v>879</v>
      </c>
      <c r="D244" s="148" t="s">
        <v>487</v>
      </c>
      <c r="E244" s="147"/>
      <c r="F244" s="98"/>
      <c r="G244" s="98"/>
      <c r="H244" s="98"/>
      <c r="I244" s="98"/>
      <c r="J244" s="98"/>
      <c r="K244" s="98"/>
      <c r="L244" s="98"/>
      <c r="M244" s="147">
        <f>T244</f>
        <v>26938000</v>
      </c>
      <c r="N244" s="99">
        <f>T244</f>
        <v>26938000</v>
      </c>
      <c r="O244" s="98"/>
      <c r="P244" s="98"/>
      <c r="Q244" s="98"/>
      <c r="R244" s="98"/>
      <c r="S244" s="98"/>
      <c r="T244" s="99">
        <f>15823000+11625000-1325000+245000+1000000-430000</f>
        <v>26938000</v>
      </c>
      <c r="U244" s="99">
        <f>15823000+10000000</f>
        <v>25823000</v>
      </c>
      <c r="V244" s="147">
        <f t="shared" si="66"/>
        <v>26938000</v>
      </c>
    </row>
    <row r="245" spans="1:22" ht="33" customHeight="1" hidden="1">
      <c r="A245" s="44" t="s">
        <v>619</v>
      </c>
      <c r="B245" s="109" t="s">
        <v>631</v>
      </c>
      <c r="C245" s="109" t="s">
        <v>879</v>
      </c>
      <c r="D245" s="148" t="s">
        <v>620</v>
      </c>
      <c r="E245" s="147">
        <f>F245+L245</f>
        <v>0</v>
      </c>
      <c r="F245" s="98">
        <f>SUM(G245:K245)</f>
        <v>0</v>
      </c>
      <c r="G245" s="98"/>
      <c r="H245" s="98"/>
      <c r="I245" s="98"/>
      <c r="J245" s="98"/>
      <c r="K245" s="98"/>
      <c r="L245" s="99"/>
      <c r="M245" s="147"/>
      <c r="N245" s="99"/>
      <c r="O245" s="98"/>
      <c r="P245" s="98"/>
      <c r="Q245" s="98"/>
      <c r="R245" s="98"/>
      <c r="S245" s="98"/>
      <c r="T245" s="99"/>
      <c r="U245" s="99"/>
      <c r="V245" s="147">
        <f t="shared" si="66"/>
        <v>0</v>
      </c>
    </row>
    <row r="246" spans="1:22" ht="33" customHeight="1" hidden="1">
      <c r="A246" s="44" t="s">
        <v>618</v>
      </c>
      <c r="B246" s="109" t="s">
        <v>632</v>
      </c>
      <c r="C246" s="109" t="s">
        <v>879</v>
      </c>
      <c r="D246" s="148" t="s">
        <v>621</v>
      </c>
      <c r="E246" s="147">
        <f>F246+L246</f>
        <v>0</v>
      </c>
      <c r="F246" s="98">
        <f>SUM(G246:K246)</f>
        <v>0</v>
      </c>
      <c r="G246" s="98"/>
      <c r="H246" s="98"/>
      <c r="I246" s="98"/>
      <c r="J246" s="98"/>
      <c r="K246" s="98"/>
      <c r="L246" s="99"/>
      <c r="M246" s="147"/>
      <c r="N246" s="99"/>
      <c r="O246" s="98"/>
      <c r="P246" s="98"/>
      <c r="Q246" s="98"/>
      <c r="R246" s="98"/>
      <c r="S246" s="98"/>
      <c r="T246" s="99"/>
      <c r="U246" s="99"/>
      <c r="V246" s="147">
        <f t="shared" si="66"/>
        <v>0</v>
      </c>
    </row>
    <row r="247" spans="1:22" ht="30.75" customHeight="1">
      <c r="A247" s="44" t="s">
        <v>488</v>
      </c>
      <c r="B247" s="109" t="s">
        <v>489</v>
      </c>
      <c r="C247" s="109" t="s">
        <v>879</v>
      </c>
      <c r="D247" s="148" t="s">
        <v>492</v>
      </c>
      <c r="E247" s="147"/>
      <c r="F247" s="98"/>
      <c r="G247" s="98"/>
      <c r="H247" s="98"/>
      <c r="I247" s="98"/>
      <c r="J247" s="98"/>
      <c r="K247" s="98"/>
      <c r="L247" s="98"/>
      <c r="M247" s="147">
        <f aca="true" t="shared" si="74" ref="M247:M252">T247</f>
        <v>3800000</v>
      </c>
      <c r="N247" s="99">
        <f>T247</f>
        <v>3800000</v>
      </c>
      <c r="O247" s="98"/>
      <c r="P247" s="98"/>
      <c r="Q247" s="98"/>
      <c r="R247" s="98"/>
      <c r="S247" s="98"/>
      <c r="T247" s="99">
        <f>5000000-1200000</f>
        <v>3800000</v>
      </c>
      <c r="U247" s="99">
        <f>5000000-1200000</f>
        <v>3800000</v>
      </c>
      <c r="V247" s="147">
        <f t="shared" si="66"/>
        <v>3800000</v>
      </c>
    </row>
    <row r="248" spans="1:22" ht="27" hidden="1">
      <c r="A248" s="44" t="s">
        <v>491</v>
      </c>
      <c r="B248" s="109" t="s">
        <v>490</v>
      </c>
      <c r="C248" s="109" t="s">
        <v>879</v>
      </c>
      <c r="D248" s="148" t="s">
        <v>493</v>
      </c>
      <c r="E248" s="147"/>
      <c r="F248" s="98"/>
      <c r="G248" s="98"/>
      <c r="H248" s="98"/>
      <c r="I248" s="98"/>
      <c r="J248" s="98"/>
      <c r="K248" s="98"/>
      <c r="L248" s="98"/>
      <c r="M248" s="147">
        <f t="shared" si="74"/>
        <v>0</v>
      </c>
      <c r="N248" s="99"/>
      <c r="O248" s="98"/>
      <c r="P248" s="98"/>
      <c r="Q248" s="98"/>
      <c r="R248" s="98"/>
      <c r="S248" s="98"/>
      <c r="T248" s="99"/>
      <c r="U248" s="99"/>
      <c r="V248" s="147">
        <f t="shared" si="66"/>
        <v>0</v>
      </c>
    </row>
    <row r="249" spans="1:22" ht="15">
      <c r="A249" s="44" t="s">
        <v>430</v>
      </c>
      <c r="B249" s="109" t="s">
        <v>431</v>
      </c>
      <c r="C249" s="109" t="s">
        <v>879</v>
      </c>
      <c r="D249" s="164" t="s">
        <v>429</v>
      </c>
      <c r="E249" s="147">
        <f>F249+L249</f>
        <v>77518566.07</v>
      </c>
      <c r="F249" s="99">
        <f>SUM(G249:K249)</f>
        <v>36337173.07</v>
      </c>
      <c r="G249" s="99"/>
      <c r="H249" s="99"/>
      <c r="I249" s="99"/>
      <c r="J249" s="166">
        <v>17215927</v>
      </c>
      <c r="K249" s="166">
        <f>41183073-20500000-1500000-61826.93</f>
        <v>19121246.07</v>
      </c>
      <c r="L249" s="166">
        <f>32824495+7711898+245000+400000</f>
        <v>41181393</v>
      </c>
      <c r="M249" s="147">
        <f t="shared" si="74"/>
        <v>1180000</v>
      </c>
      <c r="N249" s="149">
        <f>T249</f>
        <v>1180000</v>
      </c>
      <c r="O249" s="150"/>
      <c r="P249" s="150"/>
      <c r="Q249" s="150"/>
      <c r="R249" s="150"/>
      <c r="S249" s="150"/>
      <c r="T249" s="149">
        <f>1720000-40000-500000</f>
        <v>1180000</v>
      </c>
      <c r="U249" s="149">
        <f>1720000-40000-500000</f>
        <v>1180000</v>
      </c>
      <c r="V249" s="147">
        <f t="shared" si="66"/>
        <v>78698566.07</v>
      </c>
    </row>
    <row r="250" spans="1:22" ht="15">
      <c r="A250" s="44" t="s">
        <v>433</v>
      </c>
      <c r="B250" s="109" t="s">
        <v>432</v>
      </c>
      <c r="C250" s="109" t="s">
        <v>879</v>
      </c>
      <c r="D250" s="46" t="s">
        <v>72</v>
      </c>
      <c r="E250" s="147">
        <f>F250</f>
        <v>37397</v>
      </c>
      <c r="F250" s="99">
        <f>SUM(G250:K250)</f>
        <v>37397</v>
      </c>
      <c r="G250" s="149"/>
      <c r="H250" s="149"/>
      <c r="I250" s="149"/>
      <c r="J250" s="149"/>
      <c r="K250" s="149">
        <v>37397</v>
      </c>
      <c r="L250" s="150"/>
      <c r="M250" s="147">
        <f t="shared" si="74"/>
        <v>0</v>
      </c>
      <c r="N250" s="150"/>
      <c r="O250" s="150"/>
      <c r="P250" s="150"/>
      <c r="Q250" s="150"/>
      <c r="R250" s="150"/>
      <c r="S250" s="150"/>
      <c r="T250" s="150"/>
      <c r="U250" s="150"/>
      <c r="V250" s="147">
        <f t="shared" si="66"/>
        <v>37397</v>
      </c>
    </row>
    <row r="251" spans="1:22" ht="34.5" customHeight="1">
      <c r="A251" s="44" t="s">
        <v>554</v>
      </c>
      <c r="B251" s="109" t="s">
        <v>138</v>
      </c>
      <c r="C251" s="109" t="s">
        <v>895</v>
      </c>
      <c r="D251" s="164" t="s">
        <v>555</v>
      </c>
      <c r="E251" s="147">
        <f>F251+L251</f>
        <v>1114913</v>
      </c>
      <c r="F251" s="99"/>
      <c r="G251" s="149"/>
      <c r="H251" s="149"/>
      <c r="I251" s="149"/>
      <c r="J251" s="149"/>
      <c r="K251" s="149"/>
      <c r="L251" s="149">
        <v>1114913</v>
      </c>
      <c r="M251" s="147">
        <f t="shared" si="74"/>
        <v>0</v>
      </c>
      <c r="N251" s="149">
        <f>T251</f>
        <v>0</v>
      </c>
      <c r="O251" s="149"/>
      <c r="P251" s="149"/>
      <c r="Q251" s="149"/>
      <c r="R251" s="149"/>
      <c r="S251" s="149"/>
      <c r="T251" s="149"/>
      <c r="U251" s="150"/>
      <c r="V251" s="147">
        <f>M251+E251</f>
        <v>1114913</v>
      </c>
    </row>
    <row r="252" spans="1:22" ht="103.5" customHeight="1" hidden="1">
      <c r="A252" s="44" t="s">
        <v>135</v>
      </c>
      <c r="B252" s="101">
        <v>6071</v>
      </c>
      <c r="C252" s="109" t="s">
        <v>895</v>
      </c>
      <c r="D252" s="297" t="s">
        <v>174</v>
      </c>
      <c r="E252" s="147">
        <f>F252+L252</f>
        <v>0</v>
      </c>
      <c r="F252" s="99">
        <f>SUM(G252:K252)</f>
        <v>0</v>
      </c>
      <c r="G252" s="150"/>
      <c r="H252" s="150"/>
      <c r="I252" s="150"/>
      <c r="J252" s="150"/>
      <c r="K252" s="149"/>
      <c r="L252" s="149"/>
      <c r="M252" s="147">
        <f t="shared" si="74"/>
        <v>0</v>
      </c>
      <c r="N252" s="149">
        <f>T252</f>
        <v>0</v>
      </c>
      <c r="O252" s="150"/>
      <c r="P252" s="150"/>
      <c r="Q252" s="150"/>
      <c r="R252" s="150"/>
      <c r="S252" s="150"/>
      <c r="T252" s="149"/>
      <c r="U252" s="149"/>
      <c r="V252" s="147">
        <f t="shared" si="66"/>
        <v>0</v>
      </c>
    </row>
    <row r="253" spans="1:22" ht="15" customHeight="1">
      <c r="A253" s="44" t="s">
        <v>435</v>
      </c>
      <c r="B253" s="109" t="s">
        <v>436</v>
      </c>
      <c r="C253" s="44"/>
      <c r="D253" s="161" t="s">
        <v>437</v>
      </c>
      <c r="E253" s="147">
        <f>SUM(E256:E261)-E259</f>
        <v>177714662.72</v>
      </c>
      <c r="F253" s="150">
        <f>SUM(F256:F261)-F259</f>
        <v>54273753.79</v>
      </c>
      <c r="G253" s="150">
        <f>SUM(G256:G260)</f>
        <v>0</v>
      </c>
      <c r="H253" s="150">
        <f>SUM(H256:H260)</f>
        <v>0</v>
      </c>
      <c r="I253" s="150">
        <f>SUM(I256:I260)</f>
        <v>0</v>
      </c>
      <c r="J253" s="150">
        <f>SUM(J256:J260)</f>
        <v>0</v>
      </c>
      <c r="K253" s="150">
        <f>SUM(K256:K261)-K259</f>
        <v>54273753.79</v>
      </c>
      <c r="L253" s="150">
        <f>SUM(L256:L261)-L259</f>
        <v>123440908.93</v>
      </c>
      <c r="M253" s="147">
        <f>SUM(M254:M263)-M259</f>
        <v>135923557.82</v>
      </c>
      <c r="N253" s="150">
        <f>SUM(N254:N263)-N259</f>
        <v>135822650.58</v>
      </c>
      <c r="O253" s="150">
        <f>SUM(O254:O263)-O259</f>
        <v>100907.24</v>
      </c>
      <c r="P253" s="150">
        <f>SUM(P256:P260)</f>
        <v>0</v>
      </c>
      <c r="Q253" s="150">
        <f>SUM(Q256:Q260)</f>
        <v>0</v>
      </c>
      <c r="R253" s="150">
        <f>SUM(R256:R260)</f>
        <v>0</v>
      </c>
      <c r="S253" s="150">
        <f>SUM(S256:S260)</f>
        <v>0</v>
      </c>
      <c r="T253" s="150">
        <f>SUM(T254:T262)-T259</f>
        <v>135822650.58</v>
      </c>
      <c r="U253" s="150">
        <f>SUM(U254:U262)-U259</f>
        <v>128459707.93</v>
      </c>
      <c r="V253" s="147">
        <f t="shared" si="66"/>
        <v>313638220.53999996</v>
      </c>
    </row>
    <row r="254" spans="1:22" ht="30.75" customHeight="1">
      <c r="A254" s="44" t="s">
        <v>495</v>
      </c>
      <c r="B254" s="109" t="s">
        <v>494</v>
      </c>
      <c r="C254" s="109" t="s">
        <v>758</v>
      </c>
      <c r="D254" s="148" t="s">
        <v>496</v>
      </c>
      <c r="E254" s="147"/>
      <c r="F254" s="150"/>
      <c r="G254" s="150"/>
      <c r="H254" s="150"/>
      <c r="I254" s="150"/>
      <c r="J254" s="150"/>
      <c r="K254" s="150"/>
      <c r="L254" s="150"/>
      <c r="M254" s="147">
        <f aca="true" t="shared" si="75" ref="M254:M262">O254+T254</f>
        <v>18647430.82</v>
      </c>
      <c r="N254" s="149">
        <f>T254</f>
        <v>18647430.82</v>
      </c>
      <c r="O254" s="150"/>
      <c r="P254" s="150"/>
      <c r="Q254" s="150"/>
      <c r="R254" s="150"/>
      <c r="S254" s="150"/>
      <c r="T254" s="149">
        <f>19972342.82-1000000+1091683+900000+854105-245000+450000+130000-5806700-400000+2701000</f>
        <v>18647430.82</v>
      </c>
      <c r="U254" s="149">
        <f>19972342.82-1000000+450000+130000-5806700</f>
        <v>13745642.82</v>
      </c>
      <c r="V254" s="147">
        <f t="shared" si="66"/>
        <v>18647430.82</v>
      </c>
    </row>
    <row r="255" spans="1:22" ht="45" customHeight="1">
      <c r="A255" s="44" t="s">
        <v>571</v>
      </c>
      <c r="B255" s="101">
        <v>7363</v>
      </c>
      <c r="C255" s="109" t="s">
        <v>411</v>
      </c>
      <c r="D255" s="46" t="s">
        <v>624</v>
      </c>
      <c r="E255" s="147"/>
      <c r="F255" s="150"/>
      <c r="G255" s="150"/>
      <c r="H255" s="150"/>
      <c r="I255" s="150"/>
      <c r="J255" s="150"/>
      <c r="K255" s="150"/>
      <c r="L255" s="150"/>
      <c r="M255" s="147">
        <f t="shared" si="75"/>
        <v>39643</v>
      </c>
      <c r="N255" s="149">
        <f>T255</f>
        <v>39643</v>
      </c>
      <c r="O255" s="150"/>
      <c r="P255" s="150"/>
      <c r="Q255" s="150"/>
      <c r="R255" s="150"/>
      <c r="S255" s="150"/>
      <c r="T255" s="149">
        <f>1154.65+38488.35</f>
        <v>39643</v>
      </c>
      <c r="U255" s="149">
        <v>38488.35</v>
      </c>
      <c r="V255" s="147">
        <f t="shared" si="66"/>
        <v>39643</v>
      </c>
    </row>
    <row r="256" spans="1:22" ht="27" hidden="1">
      <c r="A256" s="44" t="s">
        <v>11</v>
      </c>
      <c r="B256" s="109" t="s">
        <v>12</v>
      </c>
      <c r="C256" s="109" t="s">
        <v>434</v>
      </c>
      <c r="D256" s="46" t="s">
        <v>13</v>
      </c>
      <c r="E256" s="147">
        <f>F256+L256</f>
        <v>0</v>
      </c>
      <c r="F256" s="99">
        <f>SUM(G256:K256)</f>
        <v>0</v>
      </c>
      <c r="G256" s="150"/>
      <c r="H256" s="150"/>
      <c r="I256" s="150"/>
      <c r="J256" s="150"/>
      <c r="K256" s="149"/>
      <c r="L256" s="149"/>
      <c r="M256" s="147">
        <f t="shared" si="75"/>
        <v>0</v>
      </c>
      <c r="N256" s="149"/>
      <c r="O256" s="150"/>
      <c r="P256" s="150"/>
      <c r="Q256" s="150"/>
      <c r="R256" s="150"/>
      <c r="S256" s="150"/>
      <c r="T256" s="149"/>
      <c r="U256" s="149"/>
      <c r="V256" s="147">
        <f t="shared" si="66"/>
        <v>0</v>
      </c>
    </row>
    <row r="257" spans="1:22" s="214" customFormat="1" ht="30" customHeight="1">
      <c r="A257" s="44" t="s">
        <v>529</v>
      </c>
      <c r="B257" s="109" t="s">
        <v>530</v>
      </c>
      <c r="C257" s="109" t="s">
        <v>434</v>
      </c>
      <c r="D257" s="163" t="s">
        <v>531</v>
      </c>
      <c r="E257" s="147">
        <f>F257+L257</f>
        <v>8337628</v>
      </c>
      <c r="F257" s="99">
        <f>SUM(G257:K257)</f>
        <v>0</v>
      </c>
      <c r="G257" s="150"/>
      <c r="H257" s="150"/>
      <c r="I257" s="150"/>
      <c r="J257" s="150"/>
      <c r="K257" s="149"/>
      <c r="L257" s="149">
        <f>22983328-150000-3088000-11407700</f>
        <v>8337628</v>
      </c>
      <c r="M257" s="147">
        <f t="shared" si="75"/>
        <v>0</v>
      </c>
      <c r="N257" s="150"/>
      <c r="O257" s="150"/>
      <c r="P257" s="150"/>
      <c r="Q257" s="150"/>
      <c r="R257" s="150"/>
      <c r="S257" s="150"/>
      <c r="T257" s="150"/>
      <c r="U257" s="150"/>
      <c r="V257" s="147">
        <f t="shared" si="66"/>
        <v>8337628</v>
      </c>
    </row>
    <row r="258" spans="1:22" s="214" customFormat="1" ht="15">
      <c r="A258" s="44" t="s">
        <v>323</v>
      </c>
      <c r="B258" s="109" t="s">
        <v>324</v>
      </c>
      <c r="C258" s="109" t="s">
        <v>434</v>
      </c>
      <c r="D258" s="163" t="s">
        <v>325</v>
      </c>
      <c r="E258" s="147">
        <f>F258+L258</f>
        <v>41024900</v>
      </c>
      <c r="F258" s="99">
        <f>K258</f>
        <v>0</v>
      </c>
      <c r="G258" s="150"/>
      <c r="H258" s="150"/>
      <c r="I258" s="150"/>
      <c r="J258" s="150"/>
      <c r="K258" s="149"/>
      <c r="L258" s="149">
        <f>1035500+7898000+3088000+29003400</f>
        <v>41024900</v>
      </c>
      <c r="M258" s="147">
        <f t="shared" si="75"/>
        <v>0</v>
      </c>
      <c r="N258" s="149">
        <f>T258</f>
        <v>0</v>
      </c>
      <c r="O258" s="150"/>
      <c r="P258" s="150"/>
      <c r="Q258" s="150"/>
      <c r="R258" s="150"/>
      <c r="S258" s="150"/>
      <c r="T258" s="149"/>
      <c r="U258" s="150"/>
      <c r="V258" s="147">
        <f t="shared" si="66"/>
        <v>41024900</v>
      </c>
    </row>
    <row r="259" spans="1:22" s="214" customFormat="1" ht="27" hidden="1">
      <c r="A259" s="44" t="s">
        <v>543</v>
      </c>
      <c r="B259" s="109"/>
      <c r="C259" s="109"/>
      <c r="D259" s="163" t="s">
        <v>542</v>
      </c>
      <c r="E259" s="147">
        <f>E260</f>
        <v>125209764.72</v>
      </c>
      <c r="F259" s="99">
        <f>F260</f>
        <v>54273753.79</v>
      </c>
      <c r="G259" s="99">
        <f aca="true" t="shared" si="76" ref="G259:L259">G260</f>
        <v>0</v>
      </c>
      <c r="H259" s="99">
        <f t="shared" si="76"/>
        <v>0</v>
      </c>
      <c r="I259" s="99">
        <f t="shared" si="76"/>
        <v>0</v>
      </c>
      <c r="J259" s="99">
        <f t="shared" si="76"/>
        <v>0</v>
      </c>
      <c r="K259" s="99">
        <f t="shared" si="76"/>
        <v>54273753.79</v>
      </c>
      <c r="L259" s="99">
        <f t="shared" si="76"/>
        <v>70936010.93</v>
      </c>
      <c r="M259" s="147">
        <f t="shared" si="75"/>
        <v>48331336.57</v>
      </c>
      <c r="N259" s="149">
        <f>N260</f>
        <v>48331336.57</v>
      </c>
      <c r="O259" s="150"/>
      <c r="P259" s="150"/>
      <c r="Q259" s="150"/>
      <c r="R259" s="150"/>
      <c r="S259" s="150"/>
      <c r="T259" s="149">
        <f>T260</f>
        <v>48331336.57</v>
      </c>
      <c r="U259" s="149">
        <f>U260</f>
        <v>48131336.57</v>
      </c>
      <c r="V259" s="147">
        <f>V260</f>
        <v>173541349.61</v>
      </c>
    </row>
    <row r="260" spans="1:22" ht="48" customHeight="1">
      <c r="A260" s="44" t="s">
        <v>548</v>
      </c>
      <c r="B260" s="109" t="s">
        <v>549</v>
      </c>
      <c r="C260" s="109" t="s">
        <v>894</v>
      </c>
      <c r="D260" s="46" t="s">
        <v>547</v>
      </c>
      <c r="E260" s="147">
        <f>F260+L260</f>
        <v>125209764.72</v>
      </c>
      <c r="F260" s="99">
        <f>SUM(G260:K260)</f>
        <v>54273753.79</v>
      </c>
      <c r="G260" s="98"/>
      <c r="H260" s="98"/>
      <c r="I260" s="98"/>
      <c r="J260" s="98"/>
      <c r="K260" s="99">
        <f>87500000-20000000-10000000-245000-2981246.21</f>
        <v>54273753.79</v>
      </c>
      <c r="L260" s="99">
        <f>60581500+20500000-10000000+10000000-150000-10000000+4510.93</f>
        <v>70936010.93</v>
      </c>
      <c r="M260" s="147">
        <f t="shared" si="75"/>
        <v>48331584.89</v>
      </c>
      <c r="N260" s="149">
        <f>T260</f>
        <v>48331336.57</v>
      </c>
      <c r="O260" s="149">
        <v>248.32</v>
      </c>
      <c r="P260" s="150"/>
      <c r="Q260" s="150"/>
      <c r="R260" s="150"/>
      <c r="S260" s="150"/>
      <c r="T260" s="149">
        <f>59925878.36-51683-5354105+3600000+2116246.21-12362000+187000+270000</f>
        <v>48331336.57</v>
      </c>
      <c r="U260" s="149">
        <f>59925878.36-51683-5354105+3600000+2116246.21-12362000+187000+70000</f>
        <v>48131336.57</v>
      </c>
      <c r="V260" s="147">
        <f aca="true" t="shared" si="77" ref="V260:V275">M260+E260</f>
        <v>173541349.61</v>
      </c>
    </row>
    <row r="261" spans="1:22" ht="15">
      <c r="A261" s="44" t="s">
        <v>557</v>
      </c>
      <c r="B261" s="109" t="s">
        <v>44</v>
      </c>
      <c r="C261" s="109" t="s">
        <v>46</v>
      </c>
      <c r="D261" s="46" t="s">
        <v>45</v>
      </c>
      <c r="E261" s="147">
        <f>L261+F261</f>
        <v>3142370</v>
      </c>
      <c r="G261" s="98"/>
      <c r="H261" s="98"/>
      <c r="I261" s="98"/>
      <c r="J261" s="98"/>
      <c r="K261" s="99"/>
      <c r="L261" s="99">
        <v>3142370</v>
      </c>
      <c r="M261" s="147">
        <f t="shared" si="75"/>
        <v>0</v>
      </c>
      <c r="N261" s="149"/>
      <c r="O261" s="149"/>
      <c r="P261" s="150"/>
      <c r="Q261" s="150"/>
      <c r="R261" s="150"/>
      <c r="S261" s="150"/>
      <c r="T261" s="149"/>
      <c r="U261" s="149"/>
      <c r="V261" s="147">
        <f t="shared" si="77"/>
        <v>3142370</v>
      </c>
    </row>
    <row r="262" spans="1:22" ht="28.5" customHeight="1">
      <c r="A262" s="44" t="s">
        <v>498</v>
      </c>
      <c r="B262" s="109" t="s">
        <v>499</v>
      </c>
      <c r="C262" s="109" t="s">
        <v>411</v>
      </c>
      <c r="D262" s="46" t="s">
        <v>500</v>
      </c>
      <c r="E262" s="147"/>
      <c r="F262" s="99"/>
      <c r="G262" s="98"/>
      <c r="H262" s="98"/>
      <c r="I262" s="98"/>
      <c r="J262" s="98"/>
      <c r="K262" s="99"/>
      <c r="L262" s="99"/>
      <c r="M262" s="147">
        <f t="shared" si="75"/>
        <v>68804240.19</v>
      </c>
      <c r="N262" s="149">
        <f>T262</f>
        <v>68804240.19</v>
      </c>
      <c r="O262" s="149"/>
      <c r="P262" s="150"/>
      <c r="Q262" s="150"/>
      <c r="R262" s="150"/>
      <c r="S262" s="150"/>
      <c r="T262" s="149">
        <f>95906924.19+4000000-650000+1741000+5250000+150000-4000000-31820000+400000-2231000+57316</f>
        <v>68804240.19</v>
      </c>
      <c r="U262" s="149">
        <f>95906924.19+1200000+5050000+150000-4000000-31820000+57316</f>
        <v>66544240.19</v>
      </c>
      <c r="V262" s="147">
        <f t="shared" si="77"/>
        <v>68804240.19</v>
      </c>
    </row>
    <row r="263" spans="1:22" ht="129" customHeight="1">
      <c r="A263" s="44" t="s">
        <v>572</v>
      </c>
      <c r="B263" s="109" t="s">
        <v>573</v>
      </c>
      <c r="C263" s="109" t="s">
        <v>411</v>
      </c>
      <c r="D263" s="263" t="s">
        <v>574</v>
      </c>
      <c r="E263" s="147"/>
      <c r="F263" s="99"/>
      <c r="G263" s="98"/>
      <c r="H263" s="98"/>
      <c r="I263" s="98"/>
      <c r="J263" s="98"/>
      <c r="K263" s="99"/>
      <c r="L263" s="99"/>
      <c r="M263" s="147">
        <f>O263</f>
        <v>100658.92</v>
      </c>
      <c r="N263" s="149"/>
      <c r="O263" s="149">
        <f>50000+50658.92</f>
        <v>100658.92</v>
      </c>
      <c r="P263" s="150"/>
      <c r="Q263" s="150"/>
      <c r="R263" s="150"/>
      <c r="S263" s="150"/>
      <c r="T263" s="149"/>
      <c r="U263" s="149"/>
      <c r="V263" s="147">
        <f t="shared" si="77"/>
        <v>100658.92</v>
      </c>
    </row>
    <row r="264" spans="1:22" ht="17.25" customHeight="1" hidden="1">
      <c r="A264" s="44" t="s">
        <v>588</v>
      </c>
      <c r="B264" s="109" t="s">
        <v>353</v>
      </c>
      <c r="C264" s="44"/>
      <c r="D264" s="45" t="s">
        <v>443</v>
      </c>
      <c r="E264" s="147">
        <f aca="true" t="shared" si="78" ref="E264:L264">E265+E268</f>
        <v>4423324</v>
      </c>
      <c r="F264" s="98">
        <f t="shared" si="78"/>
        <v>4423324</v>
      </c>
      <c r="G264" s="98">
        <f>G265+G268</f>
        <v>2275524</v>
      </c>
      <c r="H264" s="98">
        <f t="shared" si="78"/>
        <v>0</v>
      </c>
      <c r="I264" s="98">
        <f t="shared" si="78"/>
        <v>0</v>
      </c>
      <c r="J264" s="98">
        <f t="shared" si="78"/>
        <v>50744</v>
      </c>
      <c r="K264" s="98">
        <f>K265+K268</f>
        <v>2097056</v>
      </c>
      <c r="L264" s="98">
        <f t="shared" si="78"/>
        <v>0</v>
      </c>
      <c r="M264" s="147">
        <f>T264</f>
        <v>600000</v>
      </c>
      <c r="N264" s="98">
        <f>N265+N268</f>
        <v>600000</v>
      </c>
      <c r="O264" s="98">
        <f aca="true" t="shared" si="79" ref="O264:U264">O265+O268</f>
        <v>0</v>
      </c>
      <c r="P264" s="98">
        <f t="shared" si="79"/>
        <v>0</v>
      </c>
      <c r="Q264" s="98">
        <f t="shared" si="79"/>
        <v>0</v>
      </c>
      <c r="R264" s="98">
        <f t="shared" si="79"/>
        <v>0</v>
      </c>
      <c r="S264" s="98">
        <f t="shared" si="79"/>
        <v>0</v>
      </c>
      <c r="T264" s="98">
        <f t="shared" si="79"/>
        <v>600000</v>
      </c>
      <c r="U264" s="98">
        <f t="shared" si="79"/>
        <v>600000</v>
      </c>
      <c r="V264" s="147">
        <f t="shared" si="77"/>
        <v>5023324</v>
      </c>
    </row>
    <row r="265" spans="1:22" ht="27">
      <c r="A265" s="44" t="s">
        <v>439</v>
      </c>
      <c r="B265" s="109" t="s">
        <v>440</v>
      </c>
      <c r="C265" s="109" t="s">
        <v>472</v>
      </c>
      <c r="D265" s="148" t="s">
        <v>438</v>
      </c>
      <c r="E265" s="147">
        <f aca="true" t="shared" si="80" ref="E265:E276">F265+L265</f>
        <v>1701056</v>
      </c>
      <c r="F265" s="149">
        <f>SUM(G265:K265)</f>
        <v>1701056</v>
      </c>
      <c r="G265" s="149"/>
      <c r="H265" s="149">
        <f>H266</f>
        <v>0</v>
      </c>
      <c r="I265" s="149">
        <f>I266</f>
        <v>0</v>
      </c>
      <c r="J265" s="149">
        <f>J266</f>
        <v>0</v>
      </c>
      <c r="K265" s="149">
        <f>K266+1400000</f>
        <v>1701056</v>
      </c>
      <c r="L265" s="149">
        <f>L266</f>
        <v>0</v>
      </c>
      <c r="M265" s="147">
        <f>T265</f>
        <v>600000</v>
      </c>
      <c r="N265" s="149">
        <f aca="true" t="shared" si="81" ref="N265:S265">N267</f>
        <v>600000</v>
      </c>
      <c r="O265" s="149">
        <f t="shared" si="81"/>
        <v>0</v>
      </c>
      <c r="P265" s="149">
        <f t="shared" si="81"/>
        <v>0</v>
      </c>
      <c r="Q265" s="149">
        <f t="shared" si="81"/>
        <v>0</v>
      </c>
      <c r="R265" s="149">
        <f t="shared" si="81"/>
        <v>0</v>
      </c>
      <c r="S265" s="149">
        <f t="shared" si="81"/>
        <v>0</v>
      </c>
      <c r="T265" s="149">
        <f>T267</f>
        <v>600000</v>
      </c>
      <c r="U265" s="149">
        <f>U267</f>
        <v>600000</v>
      </c>
      <c r="V265" s="147">
        <f>M265+E265</f>
        <v>2301056</v>
      </c>
    </row>
    <row r="266" spans="1:22" s="154" customFormat="1" ht="85.5" customHeight="1">
      <c r="A266" s="44"/>
      <c r="B266" s="48"/>
      <c r="C266" s="48"/>
      <c r="D266" s="157" t="s">
        <v>176</v>
      </c>
      <c r="E266" s="156">
        <f t="shared" si="80"/>
        <v>301056</v>
      </c>
      <c r="F266" s="152">
        <f>G266+H266+I266+J266+K266</f>
        <v>301056</v>
      </c>
      <c r="G266" s="149"/>
      <c r="H266" s="152"/>
      <c r="I266" s="152"/>
      <c r="J266" s="152"/>
      <c r="K266" s="152">
        <v>301056</v>
      </c>
      <c r="L266" s="152"/>
      <c r="M266" s="147">
        <f>T266</f>
        <v>0</v>
      </c>
      <c r="N266" s="153"/>
      <c r="O266" s="152"/>
      <c r="P266" s="152"/>
      <c r="Q266" s="153"/>
      <c r="R266" s="153"/>
      <c r="S266" s="153"/>
      <c r="T266" s="153"/>
      <c r="U266" s="153"/>
      <c r="V266" s="147">
        <f t="shared" si="77"/>
        <v>301056</v>
      </c>
    </row>
    <row r="267" spans="1:22" s="154" customFormat="1" ht="15.75">
      <c r="A267" s="44"/>
      <c r="B267" s="48"/>
      <c r="C267" s="48"/>
      <c r="D267" s="157" t="s">
        <v>269</v>
      </c>
      <c r="E267" s="156">
        <f t="shared" si="80"/>
        <v>1400000</v>
      </c>
      <c r="F267" s="152">
        <f>G267+H267+I267+J267+K267</f>
        <v>1400000</v>
      </c>
      <c r="G267" s="149"/>
      <c r="H267" s="152"/>
      <c r="I267" s="152"/>
      <c r="J267" s="152"/>
      <c r="K267" s="152">
        <v>1400000</v>
      </c>
      <c r="L267" s="152"/>
      <c r="M267" s="147">
        <f>T267</f>
        <v>600000</v>
      </c>
      <c r="N267" s="152">
        <f>T267</f>
        <v>600000</v>
      </c>
      <c r="O267" s="152"/>
      <c r="P267" s="152"/>
      <c r="Q267" s="152"/>
      <c r="R267" s="152"/>
      <c r="S267" s="152"/>
      <c r="T267" s="152">
        <v>600000</v>
      </c>
      <c r="U267" s="152">
        <v>600000</v>
      </c>
      <c r="V267" s="156">
        <f t="shared" si="77"/>
        <v>2000000</v>
      </c>
    </row>
    <row r="268" spans="1:22" ht="15.75" customHeight="1">
      <c r="A268" s="44" t="s">
        <v>442</v>
      </c>
      <c r="B268" s="109" t="s">
        <v>805</v>
      </c>
      <c r="C268" s="109" t="s">
        <v>472</v>
      </c>
      <c r="D268" s="46" t="s">
        <v>441</v>
      </c>
      <c r="E268" s="147">
        <f t="shared" si="80"/>
        <v>2722268</v>
      </c>
      <c r="F268" s="149">
        <f aca="true" t="shared" si="82" ref="F268:L268">F269</f>
        <v>2722268</v>
      </c>
      <c r="G268" s="149">
        <f t="shared" si="82"/>
        <v>2275524</v>
      </c>
      <c r="H268" s="149">
        <f t="shared" si="82"/>
        <v>0</v>
      </c>
      <c r="I268" s="149">
        <f t="shared" si="82"/>
        <v>0</v>
      </c>
      <c r="J268" s="149">
        <f t="shared" si="82"/>
        <v>50744</v>
      </c>
      <c r="K268" s="149">
        <f t="shared" si="82"/>
        <v>396000</v>
      </c>
      <c r="L268" s="149">
        <f t="shared" si="82"/>
        <v>0</v>
      </c>
      <c r="M268" s="147">
        <f>O268+T268</f>
        <v>0</v>
      </c>
      <c r="N268" s="149">
        <f>T268</f>
        <v>0</v>
      </c>
      <c r="O268" s="149"/>
      <c r="P268" s="149"/>
      <c r="Q268" s="150"/>
      <c r="R268" s="150"/>
      <c r="S268" s="150"/>
      <c r="T268" s="149"/>
      <c r="U268" s="149"/>
      <c r="V268" s="147">
        <f t="shared" si="77"/>
        <v>2722268</v>
      </c>
    </row>
    <row r="269" spans="1:22" s="154" customFormat="1" ht="81.75" customHeight="1">
      <c r="A269" s="44"/>
      <c r="B269" s="48"/>
      <c r="C269" s="48"/>
      <c r="D269" s="155" t="s">
        <v>185</v>
      </c>
      <c r="E269" s="147">
        <f t="shared" si="80"/>
        <v>2722268</v>
      </c>
      <c r="F269" s="152">
        <f>G269+H269+I269+J269+K269</f>
        <v>2722268</v>
      </c>
      <c r="G269" s="152">
        <v>2275524</v>
      </c>
      <c r="H269" s="152"/>
      <c r="I269" s="152"/>
      <c r="J269" s="152">
        <v>50744</v>
      </c>
      <c r="K269" s="152">
        <v>396000</v>
      </c>
      <c r="L269" s="152"/>
      <c r="M269" s="156">
        <f>O269+T269</f>
        <v>0</v>
      </c>
      <c r="N269" s="152">
        <f>T269</f>
        <v>0</v>
      </c>
      <c r="O269" s="152"/>
      <c r="P269" s="152"/>
      <c r="Q269" s="153"/>
      <c r="R269" s="153"/>
      <c r="S269" s="153"/>
      <c r="T269" s="152"/>
      <c r="U269" s="153"/>
      <c r="V269" s="147">
        <f t="shared" si="77"/>
        <v>2722268</v>
      </c>
    </row>
    <row r="270" spans="1:22" s="214" customFormat="1" ht="15">
      <c r="A270" s="44" t="s">
        <v>923</v>
      </c>
      <c r="B270" s="109" t="s">
        <v>510</v>
      </c>
      <c r="C270" s="109" t="s">
        <v>511</v>
      </c>
      <c r="D270" s="148" t="s">
        <v>512</v>
      </c>
      <c r="E270" s="147">
        <f t="shared" si="80"/>
        <v>0</v>
      </c>
      <c r="F270" s="149">
        <f>SUM(G270:K270)</f>
        <v>0</v>
      </c>
      <c r="G270" s="149"/>
      <c r="H270" s="149"/>
      <c r="I270" s="149"/>
      <c r="J270" s="149"/>
      <c r="K270" s="149"/>
      <c r="L270" s="149"/>
      <c r="M270" s="147">
        <f>T270</f>
        <v>5512000</v>
      </c>
      <c r="N270" s="149"/>
      <c r="O270" s="149"/>
      <c r="P270" s="149"/>
      <c r="Q270" s="150"/>
      <c r="R270" s="150"/>
      <c r="S270" s="150"/>
      <c r="T270" s="149">
        <v>5512000</v>
      </c>
      <c r="U270" s="150"/>
      <c r="V270" s="147">
        <f t="shared" si="77"/>
        <v>5512000</v>
      </c>
    </row>
    <row r="271" spans="1:22" s="154" customFormat="1" ht="15.75">
      <c r="A271" s="47"/>
      <c r="B271" s="48"/>
      <c r="C271" s="48"/>
      <c r="D271" s="155" t="s">
        <v>302</v>
      </c>
      <c r="E271" s="156"/>
      <c r="F271" s="152"/>
      <c r="G271" s="152"/>
      <c r="H271" s="152"/>
      <c r="I271" s="152"/>
      <c r="J271" s="152"/>
      <c r="K271" s="152"/>
      <c r="L271" s="152"/>
      <c r="M271" s="156">
        <f>T271</f>
        <v>3000000</v>
      </c>
      <c r="N271" s="152"/>
      <c r="O271" s="152"/>
      <c r="P271" s="152"/>
      <c r="Q271" s="153"/>
      <c r="R271" s="153"/>
      <c r="S271" s="153"/>
      <c r="T271" s="152">
        <v>3000000</v>
      </c>
      <c r="U271" s="153"/>
      <c r="V271" s="156">
        <f t="shared" si="77"/>
        <v>3000000</v>
      </c>
    </row>
    <row r="272" spans="1:22" s="214" customFormat="1" ht="36" customHeight="1">
      <c r="A272" s="44" t="s">
        <v>605</v>
      </c>
      <c r="B272" s="109" t="s">
        <v>604</v>
      </c>
      <c r="C272" s="109" t="s">
        <v>576</v>
      </c>
      <c r="D272" s="148" t="s">
        <v>603</v>
      </c>
      <c r="E272" s="147">
        <f t="shared" si="80"/>
        <v>0</v>
      </c>
      <c r="F272" s="149"/>
      <c r="G272" s="149"/>
      <c r="H272" s="149"/>
      <c r="I272" s="149"/>
      <c r="J272" s="149"/>
      <c r="K272" s="149"/>
      <c r="L272" s="149"/>
      <c r="M272" s="147">
        <f>O272+T272</f>
        <v>11566690.97</v>
      </c>
      <c r="N272" s="149"/>
      <c r="O272" s="149">
        <f>5730700+5817800-171809.03</f>
        <v>11376690.97</v>
      </c>
      <c r="P272" s="149"/>
      <c r="Q272" s="150"/>
      <c r="R272" s="150"/>
      <c r="S272" s="150"/>
      <c r="T272" s="149">
        <f>6245000-3714809.03-2340190.97</f>
        <v>190000</v>
      </c>
      <c r="U272" s="149"/>
      <c r="V272" s="147">
        <f t="shared" si="77"/>
        <v>11566690.97</v>
      </c>
    </row>
    <row r="273" spans="1:22" s="154" customFormat="1" ht="27" hidden="1">
      <c r="A273" s="47"/>
      <c r="B273" s="48"/>
      <c r="C273" s="48"/>
      <c r="D273" s="157" t="s">
        <v>848</v>
      </c>
      <c r="E273" s="156"/>
      <c r="F273" s="152"/>
      <c r="G273" s="152"/>
      <c r="H273" s="152"/>
      <c r="I273" s="152"/>
      <c r="J273" s="152"/>
      <c r="K273" s="152"/>
      <c r="L273" s="152"/>
      <c r="M273" s="147">
        <f>O273+T273</f>
        <v>0</v>
      </c>
      <c r="N273" s="152"/>
      <c r="O273" s="152"/>
      <c r="P273" s="152"/>
      <c r="Q273" s="153"/>
      <c r="R273" s="153"/>
      <c r="S273" s="153"/>
      <c r="T273" s="152"/>
      <c r="U273" s="153"/>
      <c r="V273" s="147">
        <f t="shared" si="77"/>
        <v>0</v>
      </c>
    </row>
    <row r="274" spans="1:22" s="214" customFormat="1" ht="27" hidden="1">
      <c r="A274" s="44" t="s">
        <v>536</v>
      </c>
      <c r="B274" s="109"/>
      <c r="C274" s="109"/>
      <c r="D274" s="148" t="s">
        <v>537</v>
      </c>
      <c r="E274" s="147">
        <f>E275</f>
        <v>790692</v>
      </c>
      <c r="F274" s="149"/>
      <c r="G274" s="149"/>
      <c r="H274" s="149"/>
      <c r="I274" s="149"/>
      <c r="J274" s="149"/>
      <c r="K274" s="149"/>
      <c r="L274" s="149">
        <f>L275</f>
        <v>790692</v>
      </c>
      <c r="M274" s="147">
        <f>O274+T274</f>
        <v>0</v>
      </c>
      <c r="N274" s="149"/>
      <c r="O274" s="149"/>
      <c r="P274" s="149"/>
      <c r="Q274" s="150"/>
      <c r="R274" s="150"/>
      <c r="S274" s="150"/>
      <c r="T274" s="149"/>
      <c r="U274" s="150"/>
      <c r="V274" s="147">
        <f t="shared" si="77"/>
        <v>790692</v>
      </c>
    </row>
    <row r="275" spans="1:22" s="154" customFormat="1" ht="63" customHeight="1">
      <c r="A275" s="44" t="s">
        <v>446</v>
      </c>
      <c r="B275" s="109" t="s">
        <v>445</v>
      </c>
      <c r="C275" s="109" t="s">
        <v>895</v>
      </c>
      <c r="D275" s="46" t="s">
        <v>444</v>
      </c>
      <c r="E275" s="147">
        <f>L275+F275</f>
        <v>790692</v>
      </c>
      <c r="F275" s="99">
        <f>SUM(G275:K275)</f>
        <v>0</v>
      </c>
      <c r="G275" s="152"/>
      <c r="H275" s="152"/>
      <c r="I275" s="152"/>
      <c r="J275" s="152"/>
      <c r="K275" s="149"/>
      <c r="L275" s="149">
        <f>765319+25373</f>
        <v>790692</v>
      </c>
      <c r="M275" s="147">
        <f>O275+T275</f>
        <v>0</v>
      </c>
      <c r="N275" s="152"/>
      <c r="O275" s="152"/>
      <c r="P275" s="152"/>
      <c r="Q275" s="152"/>
      <c r="R275" s="152"/>
      <c r="S275" s="152"/>
      <c r="T275" s="152"/>
      <c r="U275" s="152"/>
      <c r="V275" s="147">
        <f t="shared" si="77"/>
        <v>790692</v>
      </c>
    </row>
    <row r="276" spans="1:22" s="154" customFormat="1" ht="44.25" customHeight="1">
      <c r="A276" s="44" t="s">
        <v>600</v>
      </c>
      <c r="B276" s="109" t="s">
        <v>567</v>
      </c>
      <c r="C276" s="109" t="s">
        <v>106</v>
      </c>
      <c r="D276" s="46" t="s">
        <v>599</v>
      </c>
      <c r="E276" s="147">
        <f t="shared" si="80"/>
        <v>1310050</v>
      </c>
      <c r="F276" s="99">
        <f>SUM(G276:K276)</f>
        <v>1310050</v>
      </c>
      <c r="G276" s="152"/>
      <c r="H276" s="152"/>
      <c r="I276" s="152"/>
      <c r="J276" s="152"/>
      <c r="K276" s="149">
        <f>15000+75000+1220050</f>
        <v>1310050</v>
      </c>
      <c r="L276" s="149"/>
      <c r="M276" s="147">
        <f>O276+T276</f>
        <v>1109950</v>
      </c>
      <c r="N276" s="149">
        <f>T276</f>
        <v>1109950</v>
      </c>
      <c r="O276" s="149"/>
      <c r="P276" s="149"/>
      <c r="Q276" s="149"/>
      <c r="R276" s="149"/>
      <c r="S276" s="149"/>
      <c r="T276" s="149">
        <v>1109950</v>
      </c>
      <c r="U276" s="149">
        <v>1109950</v>
      </c>
      <c r="V276" s="147">
        <f>M276+E276</f>
        <v>2420000</v>
      </c>
    </row>
    <row r="277" spans="1:22" s="154" customFormat="1" ht="15">
      <c r="A277" s="145" t="s">
        <v>448</v>
      </c>
      <c r="B277" s="158"/>
      <c r="C277" s="158"/>
      <c r="D277" s="159" t="s">
        <v>397</v>
      </c>
      <c r="E277" s="147">
        <f aca="true" t="shared" si="83" ref="E277:O278">E278</f>
        <v>7811337</v>
      </c>
      <c r="F277" s="147">
        <f t="shared" si="83"/>
        <v>7811337</v>
      </c>
      <c r="G277" s="147">
        <f t="shared" si="83"/>
        <v>6906616</v>
      </c>
      <c r="H277" s="147">
        <f t="shared" si="83"/>
        <v>0</v>
      </c>
      <c r="I277" s="147">
        <f t="shared" si="83"/>
        <v>0</v>
      </c>
      <c r="J277" s="147">
        <f t="shared" si="83"/>
        <v>0</v>
      </c>
      <c r="K277" s="147">
        <f t="shared" si="83"/>
        <v>904721</v>
      </c>
      <c r="L277" s="147">
        <f t="shared" si="83"/>
        <v>0</v>
      </c>
      <c r="M277" s="147">
        <f t="shared" si="83"/>
        <v>0</v>
      </c>
      <c r="N277" s="147">
        <f aca="true" t="shared" si="84" ref="N277:V278">N278</f>
        <v>0</v>
      </c>
      <c r="O277" s="147">
        <f t="shared" si="83"/>
        <v>0</v>
      </c>
      <c r="P277" s="147">
        <f t="shared" si="84"/>
        <v>0</v>
      </c>
      <c r="Q277" s="147">
        <f t="shared" si="84"/>
        <v>0</v>
      </c>
      <c r="R277" s="147">
        <f t="shared" si="84"/>
        <v>0</v>
      </c>
      <c r="S277" s="147">
        <f t="shared" si="84"/>
        <v>0</v>
      </c>
      <c r="T277" s="147">
        <f t="shared" si="84"/>
        <v>0</v>
      </c>
      <c r="U277" s="147">
        <f t="shared" si="84"/>
        <v>0</v>
      </c>
      <c r="V277" s="147">
        <f>M277+E277</f>
        <v>7811337</v>
      </c>
    </row>
    <row r="278" spans="1:22" s="154" customFormat="1" ht="15">
      <c r="A278" s="145" t="s">
        <v>450</v>
      </c>
      <c r="B278" s="158"/>
      <c r="C278" s="158"/>
      <c r="D278" s="159" t="s">
        <v>397</v>
      </c>
      <c r="E278" s="147">
        <f>E279</f>
        <v>7811337</v>
      </c>
      <c r="F278" s="147">
        <f>F279</f>
        <v>7811337</v>
      </c>
      <c r="G278" s="147">
        <f t="shared" si="83"/>
        <v>6906616</v>
      </c>
      <c r="H278" s="147">
        <f t="shared" si="83"/>
        <v>0</v>
      </c>
      <c r="I278" s="147">
        <f t="shared" si="83"/>
        <v>0</v>
      </c>
      <c r="J278" s="147">
        <f t="shared" si="83"/>
        <v>0</v>
      </c>
      <c r="K278" s="147">
        <f t="shared" si="83"/>
        <v>904721</v>
      </c>
      <c r="L278" s="147">
        <f t="shared" si="83"/>
        <v>0</v>
      </c>
      <c r="M278" s="147">
        <f t="shared" si="83"/>
        <v>0</v>
      </c>
      <c r="N278" s="147">
        <f t="shared" si="84"/>
        <v>0</v>
      </c>
      <c r="O278" s="147">
        <f t="shared" si="83"/>
        <v>0</v>
      </c>
      <c r="P278" s="147">
        <f t="shared" si="84"/>
        <v>0</v>
      </c>
      <c r="Q278" s="147">
        <f t="shared" si="84"/>
        <v>0</v>
      </c>
      <c r="R278" s="147">
        <f t="shared" si="84"/>
        <v>0</v>
      </c>
      <c r="S278" s="147">
        <f t="shared" si="84"/>
        <v>0</v>
      </c>
      <c r="T278" s="147">
        <f t="shared" si="84"/>
        <v>0</v>
      </c>
      <c r="U278" s="147">
        <f t="shared" si="84"/>
        <v>0</v>
      </c>
      <c r="V278" s="147">
        <f t="shared" si="84"/>
        <v>7811337</v>
      </c>
    </row>
    <row r="279" spans="1:22" s="154" customFormat="1" ht="48" customHeight="1">
      <c r="A279" s="44" t="s">
        <v>583</v>
      </c>
      <c r="B279" s="109" t="s">
        <v>367</v>
      </c>
      <c r="C279" s="109" t="s">
        <v>105</v>
      </c>
      <c r="D279" s="148" t="s">
        <v>360</v>
      </c>
      <c r="E279" s="147">
        <f>F279</f>
        <v>7811337</v>
      </c>
      <c r="F279" s="149">
        <f>SUM(G279:K279)</f>
        <v>7811337</v>
      </c>
      <c r="G279" s="149">
        <v>6906616</v>
      </c>
      <c r="H279" s="149"/>
      <c r="I279" s="149"/>
      <c r="J279" s="149"/>
      <c r="K279" s="149">
        <f>392721+512000</f>
        <v>904721</v>
      </c>
      <c r="L279" s="149"/>
      <c r="M279" s="147">
        <f>O279+T279</f>
        <v>0</v>
      </c>
      <c r="N279" s="149">
        <f>T279</f>
        <v>0</v>
      </c>
      <c r="O279" s="149"/>
      <c r="P279" s="149"/>
      <c r="Q279" s="149"/>
      <c r="R279" s="149"/>
      <c r="S279" s="149"/>
      <c r="T279" s="149"/>
      <c r="U279" s="149"/>
      <c r="V279" s="147">
        <f aca="true" t="shared" si="85" ref="V279:V300">M279+E279</f>
        <v>7811337</v>
      </c>
    </row>
    <row r="280" spans="1:22" s="154" customFormat="1" ht="48" customHeight="1">
      <c r="A280" s="47"/>
      <c r="B280" s="48"/>
      <c r="C280" s="48"/>
      <c r="D280" s="49" t="s">
        <v>926</v>
      </c>
      <c r="E280" s="156">
        <f>F280</f>
        <v>512000</v>
      </c>
      <c r="F280" s="152">
        <f>K280</f>
        <v>512000</v>
      </c>
      <c r="G280" s="152"/>
      <c r="H280" s="152"/>
      <c r="I280" s="152"/>
      <c r="J280" s="152"/>
      <c r="K280" s="152">
        <v>512000</v>
      </c>
      <c r="L280" s="152"/>
      <c r="M280" s="156"/>
      <c r="N280" s="152"/>
      <c r="O280" s="152"/>
      <c r="P280" s="152"/>
      <c r="Q280" s="152"/>
      <c r="R280" s="152"/>
      <c r="S280" s="152"/>
      <c r="T280" s="152"/>
      <c r="U280" s="152"/>
      <c r="V280" s="156">
        <f t="shared" si="85"/>
        <v>512000</v>
      </c>
    </row>
    <row r="281" spans="1:24" s="97" customFormat="1" ht="27">
      <c r="A281" s="145" t="s">
        <v>580</v>
      </c>
      <c r="B281" s="158"/>
      <c r="C281" s="145"/>
      <c r="D281" s="159" t="s">
        <v>399</v>
      </c>
      <c r="E281" s="147">
        <f>E282</f>
        <v>21151691</v>
      </c>
      <c r="F281" s="147">
        <f aca="true" t="shared" si="86" ref="F281:L281">F282</f>
        <v>21151691</v>
      </c>
      <c r="G281" s="147">
        <f t="shared" si="86"/>
        <v>19158618</v>
      </c>
      <c r="H281" s="147">
        <f t="shared" si="86"/>
        <v>0</v>
      </c>
      <c r="I281" s="147">
        <f t="shared" si="86"/>
        <v>0</v>
      </c>
      <c r="J281" s="147">
        <f t="shared" si="86"/>
        <v>0</v>
      </c>
      <c r="K281" s="147">
        <f t="shared" si="86"/>
        <v>1993073</v>
      </c>
      <c r="L281" s="147">
        <f t="shared" si="86"/>
        <v>0</v>
      </c>
      <c r="M281" s="147">
        <f aca="true" t="shared" si="87" ref="M281:U281">M282</f>
        <v>169023076.19</v>
      </c>
      <c r="N281" s="147">
        <f t="shared" si="87"/>
        <v>168670433.16</v>
      </c>
      <c r="O281" s="147">
        <f t="shared" si="87"/>
        <v>272643.03</v>
      </c>
      <c r="P281" s="147">
        <f t="shared" si="87"/>
        <v>0</v>
      </c>
      <c r="Q281" s="147">
        <f t="shared" si="87"/>
        <v>0</v>
      </c>
      <c r="R281" s="147">
        <f t="shared" si="87"/>
        <v>0</v>
      </c>
      <c r="S281" s="147">
        <f t="shared" si="87"/>
        <v>0</v>
      </c>
      <c r="T281" s="147">
        <f t="shared" si="87"/>
        <v>168750433.16</v>
      </c>
      <c r="U281" s="147">
        <f t="shared" si="87"/>
        <v>158272619.01</v>
      </c>
      <c r="V281" s="147">
        <f t="shared" si="85"/>
        <v>190174767.19</v>
      </c>
      <c r="X281" s="308"/>
    </row>
    <row r="282" spans="1:22" s="97" customFormat="1" ht="27">
      <c r="A282" s="145" t="s">
        <v>581</v>
      </c>
      <c r="B282" s="158"/>
      <c r="C282" s="145"/>
      <c r="D282" s="159" t="s">
        <v>399</v>
      </c>
      <c r="E282" s="147">
        <f>E283+E285+E297+E301</f>
        <v>21151691</v>
      </c>
      <c r="F282" s="147">
        <f>F283+F285+F297+F301</f>
        <v>21151691</v>
      </c>
      <c r="G282" s="147">
        <f aca="true" t="shared" si="88" ref="G282:L282">G283+G285+G297</f>
        <v>19158618</v>
      </c>
      <c r="H282" s="147">
        <f t="shared" si="88"/>
        <v>0</v>
      </c>
      <c r="I282" s="147">
        <f t="shared" si="88"/>
        <v>0</v>
      </c>
      <c r="J282" s="147">
        <f t="shared" si="88"/>
        <v>0</v>
      </c>
      <c r="K282" s="147">
        <f>K283+K285+K297+K301</f>
        <v>1993073</v>
      </c>
      <c r="L282" s="147">
        <f t="shared" si="88"/>
        <v>0</v>
      </c>
      <c r="M282" s="147">
        <f>M295+M303+M283+M287+M292+M294+M296+M297+M301+M302+M304+M293+M305+M289+M288+M290+M291</f>
        <v>169023076.19</v>
      </c>
      <c r="N282" s="147">
        <f>N295+N303+N283+N287+N292+N294+N296+N297+N301+N302+N304+N293+N305+N289+N288+N290+N291</f>
        <v>168670433.16</v>
      </c>
      <c r="O282" s="147">
        <f>O295+O303+O283+O287+O292+O294+O296+O297+O301+O302+O304+O293+O305+O289+O288</f>
        <v>272643.03</v>
      </c>
      <c r="P282" s="147">
        <f>P295+P303+P283+P287+P292+P294+P296+P297+P301+P302+P304+P293+P305+P289+P288</f>
        <v>0</v>
      </c>
      <c r="Q282" s="147">
        <f>Q295+Q303+Q283+Q287+Q292+Q294+Q296+Q297+Q301+Q302+Q304+Q293+Q305+Q289+Q288</f>
        <v>0</v>
      </c>
      <c r="R282" s="147">
        <f>R295+R303+R283+R287+R292+R294+R296+R297+R301+R302+R304+R293+R305+R289+R288</f>
        <v>0</v>
      </c>
      <c r="S282" s="147">
        <f>S295+S303+S283+S287+S292+S294+S296+S297+S301+S302+S304+S293+S305+S289+S288</f>
        <v>0</v>
      </c>
      <c r="T282" s="147">
        <f>T295+T303+T283+T287+T292+T294+T296+T297+T301+T302+T304+T293+T305+T289+T288+T290+T291</f>
        <v>168750433.16</v>
      </c>
      <c r="U282" s="147">
        <f>U295+U303+U283+U287+U292+U294+U296+U297+U301+U302+U304+U293+U305+U289+U288+U290+U291</f>
        <v>158272619.01</v>
      </c>
      <c r="V282" s="147">
        <f>M282+E282</f>
        <v>190174767.19</v>
      </c>
    </row>
    <row r="283" spans="1:22" ht="48" customHeight="1">
      <c r="A283" s="44" t="s">
        <v>582</v>
      </c>
      <c r="B283" s="109" t="s">
        <v>367</v>
      </c>
      <c r="C283" s="109" t="s">
        <v>105</v>
      </c>
      <c r="D283" s="148" t="s">
        <v>360</v>
      </c>
      <c r="E283" s="147">
        <f>F283</f>
        <v>20521691</v>
      </c>
      <c r="F283" s="149">
        <f>SUM(G283:K283)</f>
        <v>20521691</v>
      </c>
      <c r="G283" s="149">
        <v>19158618</v>
      </c>
      <c r="H283" s="149"/>
      <c r="I283" s="149"/>
      <c r="J283" s="149"/>
      <c r="K283" s="149">
        <v>1363073</v>
      </c>
      <c r="L283" s="150"/>
      <c r="M283" s="147">
        <f>T283</f>
        <v>0</v>
      </c>
      <c r="N283" s="149">
        <f>T283</f>
        <v>0</v>
      </c>
      <c r="O283" s="150"/>
      <c r="P283" s="150"/>
      <c r="Q283" s="150"/>
      <c r="R283" s="150"/>
      <c r="S283" s="150"/>
      <c r="T283" s="149"/>
      <c r="U283" s="149"/>
      <c r="V283" s="147">
        <f t="shared" si="85"/>
        <v>20521691</v>
      </c>
    </row>
    <row r="284" spans="1:22" ht="37.5" customHeight="1">
      <c r="A284" s="44"/>
      <c r="B284" s="109"/>
      <c r="C284" s="109"/>
      <c r="D284" s="49" t="s">
        <v>152</v>
      </c>
      <c r="E284" s="156">
        <f>F284</f>
        <v>300000</v>
      </c>
      <c r="F284" s="152">
        <f>SUM(G284:K284)</f>
        <v>300000</v>
      </c>
      <c r="G284" s="152"/>
      <c r="H284" s="152"/>
      <c r="I284" s="152"/>
      <c r="J284" s="152"/>
      <c r="K284" s="152">
        <v>300000</v>
      </c>
      <c r="L284" s="153"/>
      <c r="M284" s="156"/>
      <c r="N284" s="152"/>
      <c r="O284" s="153"/>
      <c r="P284" s="153"/>
      <c r="Q284" s="153"/>
      <c r="R284" s="153"/>
      <c r="S284" s="153"/>
      <c r="T284" s="152"/>
      <c r="U284" s="152"/>
      <c r="V284" s="156">
        <f t="shared" si="85"/>
        <v>300000</v>
      </c>
    </row>
    <row r="285" spans="1:22" ht="35.25" customHeight="1">
      <c r="A285" s="50">
        <v>1610180</v>
      </c>
      <c r="B285" s="109" t="s">
        <v>106</v>
      </c>
      <c r="C285" s="109" t="s">
        <v>889</v>
      </c>
      <c r="D285" s="163" t="s">
        <v>76</v>
      </c>
      <c r="E285" s="147">
        <f>F285+L285</f>
        <v>210000</v>
      </c>
      <c r="F285" s="149">
        <f>SUM(G285:K285)</f>
        <v>210000</v>
      </c>
      <c r="G285" s="150"/>
      <c r="H285" s="150"/>
      <c r="I285" s="150"/>
      <c r="J285" s="150"/>
      <c r="K285" s="149">
        <f>K286+200000-200000</f>
        <v>210000</v>
      </c>
      <c r="L285" s="150"/>
      <c r="M285" s="147">
        <f>T285</f>
        <v>0</v>
      </c>
      <c r="N285" s="149"/>
      <c r="O285" s="150"/>
      <c r="P285" s="150"/>
      <c r="Q285" s="150"/>
      <c r="R285" s="150"/>
      <c r="S285" s="150"/>
      <c r="T285" s="149"/>
      <c r="U285" s="149"/>
      <c r="V285" s="147">
        <f t="shared" si="85"/>
        <v>210000</v>
      </c>
    </row>
    <row r="286" spans="1:22" s="154" customFormat="1" ht="41.25">
      <c r="A286" s="120"/>
      <c r="B286" s="48"/>
      <c r="C286" s="48"/>
      <c r="D286" s="231" t="s">
        <v>177</v>
      </c>
      <c r="E286" s="156">
        <f>F286</f>
        <v>210000</v>
      </c>
      <c r="F286" s="152">
        <f>SUM(G286:K286)</f>
        <v>210000</v>
      </c>
      <c r="G286" s="153"/>
      <c r="H286" s="153"/>
      <c r="I286" s="153"/>
      <c r="J286" s="153"/>
      <c r="K286" s="152">
        <v>210000</v>
      </c>
      <c r="L286" s="153"/>
      <c r="M286" s="156"/>
      <c r="N286" s="152"/>
      <c r="O286" s="153"/>
      <c r="P286" s="153"/>
      <c r="Q286" s="153"/>
      <c r="R286" s="153"/>
      <c r="S286" s="153"/>
      <c r="T286" s="152"/>
      <c r="U286" s="152"/>
      <c r="V286" s="156">
        <f t="shared" si="85"/>
        <v>210000</v>
      </c>
    </row>
    <row r="287" spans="1:22" ht="71.25" customHeight="1" hidden="1">
      <c r="A287" s="50">
        <v>1611020</v>
      </c>
      <c r="B287" s="109" t="s">
        <v>502</v>
      </c>
      <c r="C287" s="109" t="s">
        <v>893</v>
      </c>
      <c r="D287" s="163" t="s">
        <v>790</v>
      </c>
      <c r="E287" s="156">
        <f aca="true" t="shared" si="89" ref="E287:E301">F287</f>
        <v>0</v>
      </c>
      <c r="F287" s="152">
        <f aca="true" t="shared" si="90" ref="F287:F301">SUM(G287:K287)</f>
        <v>0</v>
      </c>
      <c r="G287" s="150"/>
      <c r="H287" s="150"/>
      <c r="I287" s="150"/>
      <c r="J287" s="150"/>
      <c r="K287" s="149"/>
      <c r="L287" s="150"/>
      <c r="M287" s="147">
        <f aca="true" t="shared" si="91" ref="M287:M299">O287+T287</f>
        <v>0</v>
      </c>
      <c r="N287" s="149">
        <f aca="true" t="shared" si="92" ref="N287:N292">T287</f>
        <v>0</v>
      </c>
      <c r="O287" s="150"/>
      <c r="P287" s="150"/>
      <c r="Q287" s="150"/>
      <c r="R287" s="150"/>
      <c r="S287" s="150"/>
      <c r="T287" s="149"/>
      <c r="U287" s="149"/>
      <c r="V287" s="147">
        <f t="shared" si="85"/>
        <v>0</v>
      </c>
    </row>
    <row r="288" spans="1:22" ht="27" hidden="1">
      <c r="A288" s="50">
        <v>1615031</v>
      </c>
      <c r="B288" s="109" t="s">
        <v>342</v>
      </c>
      <c r="C288" s="165" t="s">
        <v>724</v>
      </c>
      <c r="D288" s="207" t="s">
        <v>526</v>
      </c>
      <c r="E288" s="156">
        <f t="shared" si="89"/>
        <v>0</v>
      </c>
      <c r="F288" s="152">
        <f t="shared" si="90"/>
        <v>0</v>
      </c>
      <c r="G288" s="150"/>
      <c r="H288" s="150"/>
      <c r="I288" s="150"/>
      <c r="J288" s="150"/>
      <c r="K288" s="149"/>
      <c r="L288" s="150"/>
      <c r="M288" s="147">
        <f t="shared" si="91"/>
        <v>0</v>
      </c>
      <c r="N288" s="149">
        <f t="shared" si="92"/>
        <v>0</v>
      </c>
      <c r="O288" s="150"/>
      <c r="P288" s="150"/>
      <c r="Q288" s="150"/>
      <c r="R288" s="150"/>
      <c r="S288" s="150"/>
      <c r="T288" s="149"/>
      <c r="U288" s="149"/>
      <c r="V288" s="147">
        <f t="shared" si="85"/>
        <v>0</v>
      </c>
    </row>
    <row r="289" spans="1:22" ht="27">
      <c r="A289" s="44" t="s">
        <v>146</v>
      </c>
      <c r="B289" s="109" t="s">
        <v>494</v>
      </c>
      <c r="C289" s="109" t="s">
        <v>758</v>
      </c>
      <c r="D289" s="164" t="s">
        <v>496</v>
      </c>
      <c r="E289" s="156">
        <f t="shared" si="89"/>
        <v>0</v>
      </c>
      <c r="F289" s="152">
        <f t="shared" si="90"/>
        <v>0</v>
      </c>
      <c r="G289" s="150"/>
      <c r="H289" s="150"/>
      <c r="I289" s="150"/>
      <c r="J289" s="150"/>
      <c r="K289" s="149"/>
      <c r="L289" s="150"/>
      <c r="M289" s="147">
        <f t="shared" si="91"/>
        <v>1440000</v>
      </c>
      <c r="N289" s="149">
        <f t="shared" si="92"/>
        <v>1440000</v>
      </c>
      <c r="O289" s="150"/>
      <c r="P289" s="150"/>
      <c r="Q289" s="150"/>
      <c r="R289" s="150"/>
      <c r="S289" s="150"/>
      <c r="T289" s="149">
        <v>1440000</v>
      </c>
      <c r="U289" s="149"/>
      <c r="V289" s="147">
        <f t="shared" si="85"/>
        <v>1440000</v>
      </c>
    </row>
    <row r="290" spans="1:22" ht="15.75">
      <c r="A290" s="44" t="s">
        <v>145</v>
      </c>
      <c r="B290" s="109" t="s">
        <v>675</v>
      </c>
      <c r="C290" s="109" t="s">
        <v>758</v>
      </c>
      <c r="D290" s="164" t="s">
        <v>759</v>
      </c>
      <c r="E290" s="156">
        <f t="shared" si="89"/>
        <v>0</v>
      </c>
      <c r="F290" s="152">
        <f t="shared" si="90"/>
        <v>0</v>
      </c>
      <c r="G290" s="150"/>
      <c r="H290" s="150"/>
      <c r="I290" s="150"/>
      <c r="J290" s="150"/>
      <c r="K290" s="149"/>
      <c r="L290" s="150"/>
      <c r="M290" s="147">
        <f t="shared" si="91"/>
        <v>1949532</v>
      </c>
      <c r="N290" s="149">
        <f t="shared" si="92"/>
        <v>1949532</v>
      </c>
      <c r="O290" s="150"/>
      <c r="P290" s="150"/>
      <c r="Q290" s="150"/>
      <c r="R290" s="150"/>
      <c r="S290" s="150"/>
      <c r="T290" s="149">
        <v>1949532</v>
      </c>
      <c r="U290" s="149">
        <v>1949532</v>
      </c>
      <c r="V290" s="147">
        <f t="shared" si="85"/>
        <v>1949532</v>
      </c>
    </row>
    <row r="291" spans="1:22" ht="27" hidden="1">
      <c r="A291" s="44" t="s">
        <v>146</v>
      </c>
      <c r="B291" s="109" t="s">
        <v>494</v>
      </c>
      <c r="C291" s="109" t="s">
        <v>758</v>
      </c>
      <c r="D291" s="164" t="s">
        <v>496</v>
      </c>
      <c r="E291" s="156">
        <f t="shared" si="89"/>
        <v>0</v>
      </c>
      <c r="F291" s="152">
        <f t="shared" si="90"/>
        <v>0</v>
      </c>
      <c r="G291" s="150"/>
      <c r="H291" s="150"/>
      <c r="I291" s="150"/>
      <c r="J291" s="150"/>
      <c r="K291" s="149"/>
      <c r="L291" s="150"/>
      <c r="M291" s="147">
        <f t="shared" si="91"/>
        <v>0</v>
      </c>
      <c r="N291" s="149">
        <f t="shared" si="92"/>
        <v>0</v>
      </c>
      <c r="O291" s="150"/>
      <c r="P291" s="150"/>
      <c r="Q291" s="150"/>
      <c r="R291" s="150"/>
      <c r="S291" s="150"/>
      <c r="T291" s="149"/>
      <c r="U291" s="149"/>
      <c r="V291" s="147">
        <f t="shared" si="85"/>
        <v>0</v>
      </c>
    </row>
    <row r="292" spans="1:22" ht="33.75" customHeight="1" hidden="1">
      <c r="A292" s="50">
        <v>1617370</v>
      </c>
      <c r="B292" s="109" t="s">
        <v>317</v>
      </c>
      <c r="C292" s="109" t="s">
        <v>411</v>
      </c>
      <c r="D292" s="163" t="s">
        <v>15</v>
      </c>
      <c r="E292" s="156">
        <f t="shared" si="89"/>
        <v>0</v>
      </c>
      <c r="F292" s="152">
        <f t="shared" si="90"/>
        <v>0</v>
      </c>
      <c r="G292" s="150"/>
      <c r="H292" s="150"/>
      <c r="I292" s="150"/>
      <c r="J292" s="150"/>
      <c r="K292" s="149"/>
      <c r="L292" s="150"/>
      <c r="M292" s="147">
        <f t="shared" si="91"/>
        <v>0</v>
      </c>
      <c r="N292" s="149">
        <f t="shared" si="92"/>
        <v>0</v>
      </c>
      <c r="O292" s="150"/>
      <c r="P292" s="150"/>
      <c r="Q292" s="150"/>
      <c r="R292" s="150"/>
      <c r="S292" s="150"/>
      <c r="T292" s="149"/>
      <c r="U292" s="149"/>
      <c r="V292" s="147">
        <f t="shared" si="85"/>
        <v>0</v>
      </c>
    </row>
    <row r="293" spans="1:22" ht="15.75" hidden="1">
      <c r="A293" s="50">
        <v>1617321</v>
      </c>
      <c r="B293" s="109" t="s">
        <v>675</v>
      </c>
      <c r="C293" s="109" t="s">
        <v>758</v>
      </c>
      <c r="D293" s="163" t="s">
        <v>759</v>
      </c>
      <c r="E293" s="156">
        <f t="shared" si="89"/>
        <v>0</v>
      </c>
      <c r="F293" s="152">
        <f t="shared" si="90"/>
        <v>0</v>
      </c>
      <c r="G293" s="150"/>
      <c r="H293" s="150"/>
      <c r="I293" s="150"/>
      <c r="J293" s="150"/>
      <c r="K293" s="149"/>
      <c r="L293" s="150"/>
      <c r="M293" s="147">
        <f t="shared" si="91"/>
        <v>0</v>
      </c>
      <c r="N293" s="149"/>
      <c r="O293" s="150"/>
      <c r="P293" s="150"/>
      <c r="Q293" s="150"/>
      <c r="R293" s="150"/>
      <c r="S293" s="150"/>
      <c r="T293" s="149"/>
      <c r="U293" s="149"/>
      <c r="V293" s="147">
        <f t="shared" si="85"/>
        <v>0</v>
      </c>
    </row>
    <row r="294" spans="1:22" ht="15.75" hidden="1">
      <c r="A294" s="50">
        <v>1617324</v>
      </c>
      <c r="B294" s="109" t="s">
        <v>501</v>
      </c>
      <c r="C294" s="109" t="s">
        <v>758</v>
      </c>
      <c r="D294" s="163" t="s">
        <v>483</v>
      </c>
      <c r="E294" s="156">
        <f t="shared" si="89"/>
        <v>0</v>
      </c>
      <c r="F294" s="152">
        <f t="shared" si="90"/>
        <v>0</v>
      </c>
      <c r="G294" s="150"/>
      <c r="H294" s="150"/>
      <c r="I294" s="150"/>
      <c r="J294" s="150"/>
      <c r="K294" s="149"/>
      <c r="L294" s="150"/>
      <c r="M294" s="147">
        <f t="shared" si="91"/>
        <v>0</v>
      </c>
      <c r="N294" s="149">
        <f>T294</f>
        <v>0</v>
      </c>
      <c r="O294" s="150"/>
      <c r="P294" s="150"/>
      <c r="Q294" s="150"/>
      <c r="R294" s="150"/>
      <c r="S294" s="150"/>
      <c r="T294" s="149"/>
      <c r="U294" s="149"/>
      <c r="V294" s="147">
        <f t="shared" si="85"/>
        <v>0</v>
      </c>
    </row>
    <row r="295" spans="1:22" ht="30.75" customHeight="1">
      <c r="A295" s="50">
        <v>1617325</v>
      </c>
      <c r="B295" s="109" t="s">
        <v>474</v>
      </c>
      <c r="C295" s="109" t="s">
        <v>758</v>
      </c>
      <c r="D295" s="163" t="s">
        <v>475</v>
      </c>
      <c r="E295" s="156">
        <f t="shared" si="89"/>
        <v>0</v>
      </c>
      <c r="F295" s="152">
        <f t="shared" si="90"/>
        <v>0</v>
      </c>
      <c r="G295" s="150"/>
      <c r="H295" s="150"/>
      <c r="I295" s="150"/>
      <c r="J295" s="150"/>
      <c r="K295" s="149"/>
      <c r="L295" s="150"/>
      <c r="M295" s="147">
        <f t="shared" si="91"/>
        <v>4037173.75</v>
      </c>
      <c r="N295" s="149">
        <f>T295</f>
        <v>4037173.75</v>
      </c>
      <c r="O295" s="150"/>
      <c r="P295" s="150"/>
      <c r="Q295" s="150"/>
      <c r="R295" s="150"/>
      <c r="S295" s="150"/>
      <c r="T295" s="149">
        <f>3579793.75+450000+1325000-1275000-42620</f>
        <v>4037173.75</v>
      </c>
      <c r="U295" s="149">
        <f>3579793.75-42620</f>
        <v>3537173.75</v>
      </c>
      <c r="V295" s="147">
        <f t="shared" si="85"/>
        <v>4037173.75</v>
      </c>
    </row>
    <row r="296" spans="1:22" ht="30" customHeight="1">
      <c r="A296" s="50">
        <v>1617350</v>
      </c>
      <c r="B296" s="109" t="s">
        <v>503</v>
      </c>
      <c r="C296" s="109" t="s">
        <v>153</v>
      </c>
      <c r="D296" s="163" t="s">
        <v>504</v>
      </c>
      <c r="E296" s="156">
        <f t="shared" si="89"/>
        <v>0</v>
      </c>
      <c r="F296" s="152">
        <f t="shared" si="90"/>
        <v>0</v>
      </c>
      <c r="G296" s="150"/>
      <c r="H296" s="150"/>
      <c r="I296" s="150"/>
      <c r="J296" s="150"/>
      <c r="K296" s="149"/>
      <c r="L296" s="150"/>
      <c r="M296" s="147">
        <f t="shared" si="91"/>
        <v>80000</v>
      </c>
      <c r="N296" s="149">
        <f>T296</f>
        <v>80000</v>
      </c>
      <c r="O296" s="150"/>
      <c r="P296" s="150"/>
      <c r="Q296" s="150"/>
      <c r="R296" s="150"/>
      <c r="S296" s="150"/>
      <c r="T296" s="149">
        <v>80000</v>
      </c>
      <c r="U296" s="149"/>
      <c r="V296" s="147">
        <f t="shared" si="85"/>
        <v>80000</v>
      </c>
    </row>
    <row r="297" spans="1:22" ht="27">
      <c r="A297" s="44" t="s">
        <v>318</v>
      </c>
      <c r="B297" s="109" t="s">
        <v>317</v>
      </c>
      <c r="C297" s="109" t="s">
        <v>411</v>
      </c>
      <c r="D297" s="148" t="s">
        <v>15</v>
      </c>
      <c r="E297" s="156">
        <f t="shared" si="89"/>
        <v>0</v>
      </c>
      <c r="F297" s="152">
        <f t="shared" si="90"/>
        <v>0</v>
      </c>
      <c r="G297" s="150">
        <f aca="true" t="shared" si="93" ref="G297:S297">G299</f>
        <v>0</v>
      </c>
      <c r="H297" s="150">
        <f t="shared" si="93"/>
        <v>0</v>
      </c>
      <c r="I297" s="150">
        <f t="shared" si="93"/>
        <v>0</v>
      </c>
      <c r="J297" s="150">
        <f t="shared" si="93"/>
        <v>0</v>
      </c>
      <c r="K297" s="149">
        <f>K299</f>
        <v>0</v>
      </c>
      <c r="L297" s="150">
        <f t="shared" si="93"/>
        <v>0</v>
      </c>
      <c r="M297" s="147">
        <f t="shared" si="91"/>
        <v>6211995.4</v>
      </c>
      <c r="N297" s="149">
        <f>T297</f>
        <v>6211995.4</v>
      </c>
      <c r="O297" s="150">
        <f t="shared" si="93"/>
        <v>0</v>
      </c>
      <c r="P297" s="150">
        <f t="shared" si="93"/>
        <v>0</v>
      </c>
      <c r="Q297" s="150">
        <f t="shared" si="93"/>
        <v>0</v>
      </c>
      <c r="R297" s="150">
        <f t="shared" si="93"/>
        <v>0</v>
      </c>
      <c r="S297" s="150">
        <f t="shared" si="93"/>
        <v>0</v>
      </c>
      <c r="T297" s="149">
        <v>6211995.4</v>
      </c>
      <c r="U297" s="149">
        <v>6211995.4</v>
      </c>
      <c r="V297" s="147">
        <f t="shared" si="85"/>
        <v>6211995.4</v>
      </c>
    </row>
    <row r="298" spans="1:22" s="154" customFormat="1" ht="42" customHeight="1" hidden="1">
      <c r="A298" s="44"/>
      <c r="B298" s="48"/>
      <c r="C298" s="47"/>
      <c r="D298" s="157" t="s">
        <v>14</v>
      </c>
      <c r="E298" s="156">
        <f t="shared" si="89"/>
        <v>0</v>
      </c>
      <c r="F298" s="152">
        <f t="shared" si="90"/>
        <v>0</v>
      </c>
      <c r="G298" s="153"/>
      <c r="H298" s="153"/>
      <c r="I298" s="153"/>
      <c r="J298" s="153"/>
      <c r="K298" s="152"/>
      <c r="L298" s="153"/>
      <c r="M298" s="147">
        <f t="shared" si="91"/>
        <v>0</v>
      </c>
      <c r="N298" s="162"/>
      <c r="O298" s="153"/>
      <c r="P298" s="153"/>
      <c r="Q298" s="153"/>
      <c r="R298" s="153"/>
      <c r="S298" s="153"/>
      <c r="T298" s="162"/>
      <c r="U298" s="152"/>
      <c r="V298" s="147">
        <f t="shared" si="85"/>
        <v>0</v>
      </c>
    </row>
    <row r="299" spans="1:22" s="154" customFormat="1" ht="41.25" hidden="1">
      <c r="A299" s="44"/>
      <c r="B299" s="48"/>
      <c r="C299" s="47"/>
      <c r="D299" s="157" t="s">
        <v>86</v>
      </c>
      <c r="E299" s="156">
        <f t="shared" si="89"/>
        <v>0</v>
      </c>
      <c r="F299" s="152">
        <f t="shared" si="90"/>
        <v>0</v>
      </c>
      <c r="G299" s="153"/>
      <c r="H299" s="153"/>
      <c r="I299" s="153"/>
      <c r="J299" s="153"/>
      <c r="K299" s="152"/>
      <c r="L299" s="153"/>
      <c r="M299" s="147">
        <f t="shared" si="91"/>
        <v>0</v>
      </c>
      <c r="N299" s="162"/>
      <c r="O299" s="153"/>
      <c r="P299" s="153"/>
      <c r="Q299" s="153"/>
      <c r="R299" s="153"/>
      <c r="S299" s="153"/>
      <c r="T299" s="162"/>
      <c r="U299" s="152"/>
      <c r="V299" s="147">
        <f t="shared" si="85"/>
        <v>0</v>
      </c>
    </row>
    <row r="300" spans="1:22" s="154" customFormat="1" ht="27" hidden="1">
      <c r="A300" s="44" t="s">
        <v>541</v>
      </c>
      <c r="B300" s="48"/>
      <c r="C300" s="47"/>
      <c r="D300" s="185" t="s">
        <v>542</v>
      </c>
      <c r="E300" s="156">
        <f t="shared" si="89"/>
        <v>0</v>
      </c>
      <c r="F300" s="152">
        <f t="shared" si="90"/>
        <v>0</v>
      </c>
      <c r="G300" s="153"/>
      <c r="H300" s="153"/>
      <c r="I300" s="153"/>
      <c r="J300" s="153"/>
      <c r="K300" s="152"/>
      <c r="L300" s="153"/>
      <c r="M300" s="147">
        <f>M301</f>
        <v>146551732.01</v>
      </c>
      <c r="N300" s="99">
        <f>N301</f>
        <v>146551732.01</v>
      </c>
      <c r="O300" s="153"/>
      <c r="P300" s="153"/>
      <c r="Q300" s="153"/>
      <c r="R300" s="153"/>
      <c r="S300" s="153"/>
      <c r="T300" s="99">
        <f>T301</f>
        <v>146551732.01</v>
      </c>
      <c r="U300" s="99">
        <f>U301</f>
        <v>138573917.85999998</v>
      </c>
      <c r="V300" s="147">
        <f t="shared" si="85"/>
        <v>146551732.01</v>
      </c>
    </row>
    <row r="301" spans="1:24" ht="51" customHeight="1">
      <c r="A301" s="44" t="s">
        <v>505</v>
      </c>
      <c r="B301" s="109" t="s">
        <v>549</v>
      </c>
      <c r="C301" s="109" t="s">
        <v>807</v>
      </c>
      <c r="D301" s="185" t="s">
        <v>547</v>
      </c>
      <c r="E301" s="147">
        <f t="shared" si="89"/>
        <v>420000</v>
      </c>
      <c r="F301" s="149">
        <f t="shared" si="90"/>
        <v>420000</v>
      </c>
      <c r="G301" s="150"/>
      <c r="H301" s="150"/>
      <c r="I301" s="150"/>
      <c r="J301" s="150"/>
      <c r="K301" s="149">
        <f>20000000-4580000-15000000</f>
        <v>420000</v>
      </c>
      <c r="L301" s="150"/>
      <c r="M301" s="147">
        <f>O301+T301</f>
        <v>146551732.01</v>
      </c>
      <c r="N301" s="99">
        <f>T301</f>
        <v>146551732.01</v>
      </c>
      <c r="O301" s="150"/>
      <c r="P301" s="150"/>
      <c r="Q301" s="150"/>
      <c r="R301" s="150"/>
      <c r="S301" s="150"/>
      <c r="T301" s="99">
        <f>134391732.01+10000000+4500000-90000-2200000-50000</f>
        <v>146551732.01</v>
      </c>
      <c r="U301" s="149">
        <f>134391732.01-9825000+14007185.85</f>
        <v>138573917.85999998</v>
      </c>
      <c r="V301" s="147">
        <f>E301+M301</f>
        <v>146971732.01</v>
      </c>
      <c r="X301" s="310"/>
    </row>
    <row r="302" spans="1:22" ht="36.75" customHeight="1">
      <c r="A302" s="44" t="s">
        <v>507</v>
      </c>
      <c r="B302" s="109" t="s">
        <v>506</v>
      </c>
      <c r="C302" s="109" t="s">
        <v>411</v>
      </c>
      <c r="D302" s="185" t="s">
        <v>508</v>
      </c>
      <c r="E302" s="147"/>
      <c r="F302" s="149"/>
      <c r="G302" s="150"/>
      <c r="H302" s="150"/>
      <c r="I302" s="150"/>
      <c r="J302" s="150"/>
      <c r="K302" s="149"/>
      <c r="L302" s="150"/>
      <c r="M302" s="147">
        <f>O302+T302</f>
        <v>50000</v>
      </c>
      <c r="N302" s="99">
        <f>T302</f>
        <v>50000</v>
      </c>
      <c r="O302" s="150"/>
      <c r="P302" s="150"/>
      <c r="Q302" s="150"/>
      <c r="R302" s="150"/>
      <c r="S302" s="150"/>
      <c r="T302" s="99">
        <v>50000</v>
      </c>
      <c r="U302" s="149"/>
      <c r="V302" s="147">
        <f>E302+M302</f>
        <v>50000</v>
      </c>
    </row>
    <row r="303" spans="1:22" ht="27">
      <c r="A303" s="44" t="s">
        <v>476</v>
      </c>
      <c r="B303" s="109" t="s">
        <v>477</v>
      </c>
      <c r="C303" s="109" t="s">
        <v>497</v>
      </c>
      <c r="D303" s="185" t="s">
        <v>478</v>
      </c>
      <c r="E303" s="147"/>
      <c r="F303" s="149"/>
      <c r="G303" s="150"/>
      <c r="H303" s="150"/>
      <c r="I303" s="150"/>
      <c r="J303" s="150"/>
      <c r="K303" s="149"/>
      <c r="L303" s="150"/>
      <c r="M303" s="147">
        <f>O303+T303</f>
        <v>352643.03</v>
      </c>
      <c r="N303" s="99"/>
      <c r="O303" s="149">
        <v>272643.03</v>
      </c>
      <c r="P303" s="150"/>
      <c r="Q303" s="150"/>
      <c r="R303" s="150"/>
      <c r="S303" s="150"/>
      <c r="T303" s="99">
        <v>80000</v>
      </c>
      <c r="U303" s="149"/>
      <c r="V303" s="147">
        <f>E303+M303</f>
        <v>352643.03</v>
      </c>
    </row>
    <row r="304" spans="1:22" ht="15">
      <c r="A304" s="44" t="s">
        <v>509</v>
      </c>
      <c r="B304" s="109" t="s">
        <v>510</v>
      </c>
      <c r="C304" s="109" t="s">
        <v>511</v>
      </c>
      <c r="D304" s="185" t="s">
        <v>512</v>
      </c>
      <c r="E304" s="147"/>
      <c r="F304" s="149"/>
      <c r="G304" s="150"/>
      <c r="H304" s="150"/>
      <c r="I304" s="150"/>
      <c r="J304" s="150"/>
      <c r="K304" s="149"/>
      <c r="L304" s="150"/>
      <c r="M304" s="147">
        <f>O304+T304</f>
        <v>350000</v>
      </c>
      <c r="N304" s="99">
        <f>T304</f>
        <v>350000</v>
      </c>
      <c r="O304" s="150"/>
      <c r="P304" s="150"/>
      <c r="Q304" s="150"/>
      <c r="R304" s="150"/>
      <c r="S304" s="150"/>
      <c r="T304" s="99">
        <v>350000</v>
      </c>
      <c r="U304" s="149"/>
      <c r="V304" s="147">
        <f>E304+M304</f>
        <v>350000</v>
      </c>
    </row>
    <row r="305" spans="1:22" ht="15">
      <c r="A305" s="44" t="s">
        <v>633</v>
      </c>
      <c r="B305" s="101">
        <v>9770</v>
      </c>
      <c r="C305" s="109" t="s">
        <v>106</v>
      </c>
      <c r="D305" s="46" t="s">
        <v>606</v>
      </c>
      <c r="E305" s="147"/>
      <c r="F305" s="149"/>
      <c r="G305" s="150"/>
      <c r="H305" s="150"/>
      <c r="I305" s="150"/>
      <c r="J305" s="150"/>
      <c r="K305" s="149"/>
      <c r="L305" s="150"/>
      <c r="M305" s="147">
        <f>O305+T305</f>
        <v>8000000</v>
      </c>
      <c r="N305" s="99">
        <f>T305</f>
        <v>8000000</v>
      </c>
      <c r="O305" s="150"/>
      <c r="P305" s="150"/>
      <c r="Q305" s="150"/>
      <c r="R305" s="150"/>
      <c r="S305" s="150"/>
      <c r="T305" s="99">
        <v>8000000</v>
      </c>
      <c r="U305" s="149">
        <v>8000000</v>
      </c>
      <c r="V305" s="147">
        <f>E305+M305</f>
        <v>8000000</v>
      </c>
    </row>
    <row r="306" spans="1:22" s="97" customFormat="1" ht="32.25" customHeight="1">
      <c r="A306" s="145" t="s">
        <v>371</v>
      </c>
      <c r="B306" s="158"/>
      <c r="C306" s="145"/>
      <c r="D306" s="159" t="s">
        <v>398</v>
      </c>
      <c r="E306" s="147">
        <f aca="true" t="shared" si="94" ref="E306:O310">E307</f>
        <v>6161472</v>
      </c>
      <c r="F306" s="147">
        <f t="shared" si="94"/>
        <v>6161472</v>
      </c>
      <c r="G306" s="147">
        <f t="shared" si="94"/>
        <v>5908409</v>
      </c>
      <c r="H306" s="147">
        <f t="shared" si="94"/>
        <v>0</v>
      </c>
      <c r="I306" s="147">
        <f t="shared" si="94"/>
        <v>0</v>
      </c>
      <c r="J306" s="147">
        <f t="shared" si="94"/>
        <v>0</v>
      </c>
      <c r="K306" s="147">
        <f t="shared" si="94"/>
        <v>253063</v>
      </c>
      <c r="L306" s="147">
        <f t="shared" si="94"/>
        <v>0</v>
      </c>
      <c r="M306" s="147">
        <f t="shared" si="94"/>
        <v>0</v>
      </c>
      <c r="N306" s="147">
        <f aca="true" t="shared" si="95" ref="N306:U310">N307</f>
        <v>0</v>
      </c>
      <c r="O306" s="147">
        <f t="shared" si="94"/>
        <v>0</v>
      </c>
      <c r="P306" s="147">
        <f t="shared" si="95"/>
        <v>0</v>
      </c>
      <c r="Q306" s="147">
        <f t="shared" si="95"/>
        <v>0</v>
      </c>
      <c r="R306" s="147">
        <f t="shared" si="95"/>
        <v>0</v>
      </c>
      <c r="S306" s="147">
        <f t="shared" si="95"/>
        <v>0</v>
      </c>
      <c r="T306" s="147">
        <f t="shared" si="95"/>
        <v>0</v>
      </c>
      <c r="U306" s="147">
        <f t="shared" si="95"/>
        <v>0</v>
      </c>
      <c r="V306" s="147">
        <f aca="true" t="shared" si="96" ref="V306:V311">M306+E306</f>
        <v>6161472</v>
      </c>
    </row>
    <row r="307" spans="1:22" s="97" customFormat="1" ht="32.25" customHeight="1">
      <c r="A307" s="145" t="s">
        <v>578</v>
      </c>
      <c r="B307" s="158"/>
      <c r="C307" s="145"/>
      <c r="D307" s="159" t="s">
        <v>398</v>
      </c>
      <c r="E307" s="147">
        <f t="shared" si="94"/>
        <v>6161472</v>
      </c>
      <c r="F307" s="147">
        <f t="shared" si="94"/>
        <v>6161472</v>
      </c>
      <c r="G307" s="147">
        <f t="shared" si="94"/>
        <v>5908409</v>
      </c>
      <c r="H307" s="147">
        <f t="shared" si="94"/>
        <v>0</v>
      </c>
      <c r="I307" s="147">
        <f t="shared" si="94"/>
        <v>0</v>
      </c>
      <c r="J307" s="147">
        <f t="shared" si="94"/>
        <v>0</v>
      </c>
      <c r="K307" s="147">
        <f t="shared" si="94"/>
        <v>253063</v>
      </c>
      <c r="L307" s="147">
        <f t="shared" si="94"/>
        <v>0</v>
      </c>
      <c r="M307" s="147">
        <f t="shared" si="94"/>
        <v>0</v>
      </c>
      <c r="N307" s="147">
        <f t="shared" si="95"/>
        <v>0</v>
      </c>
      <c r="O307" s="147">
        <f t="shared" si="94"/>
        <v>0</v>
      </c>
      <c r="P307" s="147">
        <f t="shared" si="95"/>
        <v>0</v>
      </c>
      <c r="Q307" s="147">
        <f t="shared" si="95"/>
        <v>0</v>
      </c>
      <c r="R307" s="147">
        <f t="shared" si="95"/>
        <v>0</v>
      </c>
      <c r="S307" s="147">
        <f t="shared" si="95"/>
        <v>0</v>
      </c>
      <c r="T307" s="147">
        <f t="shared" si="95"/>
        <v>0</v>
      </c>
      <c r="U307" s="147">
        <f t="shared" si="95"/>
        <v>0</v>
      </c>
      <c r="V307" s="147">
        <f t="shared" si="96"/>
        <v>6161472</v>
      </c>
    </row>
    <row r="308" spans="1:22" ht="46.5" customHeight="1">
      <c r="A308" s="44" t="s">
        <v>579</v>
      </c>
      <c r="B308" s="109" t="s">
        <v>367</v>
      </c>
      <c r="C308" s="109" t="s">
        <v>105</v>
      </c>
      <c r="D308" s="148" t="s">
        <v>360</v>
      </c>
      <c r="E308" s="147">
        <f>F308</f>
        <v>6161472</v>
      </c>
      <c r="F308" s="149">
        <f>SUM(G308:K308)</f>
        <v>6161472</v>
      </c>
      <c r="G308" s="149">
        <v>5908409</v>
      </c>
      <c r="H308" s="149"/>
      <c r="I308" s="149"/>
      <c r="J308" s="149"/>
      <c r="K308" s="149">
        <v>253063</v>
      </c>
      <c r="L308" s="150"/>
      <c r="M308" s="147">
        <f>O308+T308</f>
        <v>0</v>
      </c>
      <c r="N308" s="149">
        <f>T308</f>
        <v>0</v>
      </c>
      <c r="O308" s="150"/>
      <c r="P308" s="150"/>
      <c r="Q308" s="150"/>
      <c r="R308" s="150"/>
      <c r="S308" s="150"/>
      <c r="T308" s="149"/>
      <c r="U308" s="149"/>
      <c r="V308" s="147">
        <f t="shared" si="96"/>
        <v>6161472</v>
      </c>
    </row>
    <row r="309" spans="1:22" s="97" customFormat="1" ht="27" hidden="1">
      <c r="A309" s="145" t="s">
        <v>663</v>
      </c>
      <c r="B309" s="158"/>
      <c r="C309" s="145"/>
      <c r="D309" s="159" t="s">
        <v>301</v>
      </c>
      <c r="E309" s="147">
        <f t="shared" si="94"/>
        <v>0</v>
      </c>
      <c r="F309" s="147">
        <f t="shared" si="94"/>
        <v>0</v>
      </c>
      <c r="G309" s="147">
        <f t="shared" si="94"/>
        <v>0</v>
      </c>
      <c r="H309" s="147">
        <f t="shared" si="94"/>
        <v>0</v>
      </c>
      <c r="I309" s="147">
        <f t="shared" si="94"/>
        <v>0</v>
      </c>
      <c r="J309" s="147">
        <f t="shared" si="94"/>
        <v>0</v>
      </c>
      <c r="K309" s="147">
        <f t="shared" si="94"/>
        <v>0</v>
      </c>
      <c r="L309" s="147">
        <f t="shared" si="94"/>
        <v>0</v>
      </c>
      <c r="M309" s="147">
        <f t="shared" si="94"/>
        <v>0</v>
      </c>
      <c r="N309" s="147">
        <f t="shared" si="95"/>
        <v>0</v>
      </c>
      <c r="O309" s="147">
        <f t="shared" si="94"/>
        <v>0</v>
      </c>
      <c r="P309" s="147">
        <f t="shared" si="95"/>
        <v>0</v>
      </c>
      <c r="Q309" s="147">
        <f t="shared" si="95"/>
        <v>0</v>
      </c>
      <c r="R309" s="147">
        <f t="shared" si="95"/>
        <v>0</v>
      </c>
      <c r="S309" s="147">
        <f t="shared" si="95"/>
        <v>0</v>
      </c>
      <c r="T309" s="147">
        <f t="shared" si="95"/>
        <v>0</v>
      </c>
      <c r="U309" s="147">
        <f t="shared" si="95"/>
        <v>0</v>
      </c>
      <c r="V309" s="147">
        <f t="shared" si="96"/>
        <v>0</v>
      </c>
    </row>
    <row r="310" spans="1:22" s="97" customFormat="1" ht="27" hidden="1">
      <c r="A310" s="145" t="s">
        <v>664</v>
      </c>
      <c r="B310" s="158"/>
      <c r="C310" s="145"/>
      <c r="D310" s="159" t="s">
        <v>301</v>
      </c>
      <c r="E310" s="147">
        <f t="shared" si="94"/>
        <v>0</v>
      </c>
      <c r="F310" s="147">
        <f t="shared" si="94"/>
        <v>0</v>
      </c>
      <c r="G310" s="147">
        <f t="shared" si="94"/>
        <v>0</v>
      </c>
      <c r="H310" s="147">
        <f t="shared" si="94"/>
        <v>0</v>
      </c>
      <c r="I310" s="147">
        <f t="shared" si="94"/>
        <v>0</v>
      </c>
      <c r="J310" s="147">
        <f t="shared" si="94"/>
        <v>0</v>
      </c>
      <c r="K310" s="147">
        <f t="shared" si="94"/>
        <v>0</v>
      </c>
      <c r="L310" s="147">
        <f t="shared" si="94"/>
        <v>0</v>
      </c>
      <c r="M310" s="147">
        <f t="shared" si="94"/>
        <v>0</v>
      </c>
      <c r="N310" s="147">
        <f t="shared" si="95"/>
        <v>0</v>
      </c>
      <c r="O310" s="147">
        <f t="shared" si="94"/>
        <v>0</v>
      </c>
      <c r="P310" s="147">
        <f t="shared" si="95"/>
        <v>0</v>
      </c>
      <c r="Q310" s="147">
        <f t="shared" si="95"/>
        <v>0</v>
      </c>
      <c r="R310" s="147">
        <f t="shared" si="95"/>
        <v>0</v>
      </c>
      <c r="S310" s="147">
        <f t="shared" si="95"/>
        <v>0</v>
      </c>
      <c r="T310" s="147">
        <f t="shared" si="95"/>
        <v>0</v>
      </c>
      <c r="U310" s="147">
        <f t="shared" si="95"/>
        <v>0</v>
      </c>
      <c r="V310" s="147">
        <f t="shared" si="96"/>
        <v>0</v>
      </c>
    </row>
    <row r="311" spans="1:22" ht="61.5" customHeight="1" hidden="1">
      <c r="A311" s="44" t="s">
        <v>665</v>
      </c>
      <c r="B311" s="109" t="s">
        <v>367</v>
      </c>
      <c r="C311" s="109" t="s">
        <v>105</v>
      </c>
      <c r="D311" s="148" t="s">
        <v>360</v>
      </c>
      <c r="E311" s="147">
        <f>F311</f>
        <v>0</v>
      </c>
      <c r="F311" s="149">
        <f>SUM(G311:K311)</f>
        <v>0</v>
      </c>
      <c r="G311" s="149"/>
      <c r="H311" s="149"/>
      <c r="I311" s="149"/>
      <c r="J311" s="149"/>
      <c r="K311" s="149"/>
      <c r="L311" s="150"/>
      <c r="M311" s="147">
        <f>O311+T311</f>
        <v>0</v>
      </c>
      <c r="N311" s="149"/>
      <c r="O311" s="150"/>
      <c r="P311" s="150"/>
      <c r="Q311" s="150"/>
      <c r="R311" s="150"/>
      <c r="S311" s="150"/>
      <c r="T311" s="149"/>
      <c r="U311" s="149"/>
      <c r="V311" s="147">
        <f t="shared" si="96"/>
        <v>0</v>
      </c>
    </row>
    <row r="312" spans="1:22" s="97" customFormat="1" ht="28.5" customHeight="1" hidden="1">
      <c r="A312" s="145" t="s">
        <v>368</v>
      </c>
      <c r="B312" s="158"/>
      <c r="C312" s="145"/>
      <c r="D312" s="146" t="s">
        <v>870</v>
      </c>
      <c r="E312" s="147">
        <f>E313</f>
        <v>0</v>
      </c>
      <c r="F312" s="147">
        <f>F313</f>
        <v>0</v>
      </c>
      <c r="G312" s="147">
        <f>G313</f>
        <v>0</v>
      </c>
      <c r="H312" s="147"/>
      <c r="I312" s="147">
        <f>I313</f>
        <v>0</v>
      </c>
      <c r="J312" s="147">
        <f>J313</f>
        <v>0</v>
      </c>
      <c r="K312" s="147">
        <f>K313</f>
        <v>0</v>
      </c>
      <c r="L312" s="147"/>
      <c r="M312" s="147">
        <f>M313</f>
        <v>0</v>
      </c>
      <c r="N312" s="147">
        <f>N313</f>
        <v>0</v>
      </c>
      <c r="O312" s="147">
        <f>O313</f>
        <v>0</v>
      </c>
      <c r="P312" s="147">
        <f>P313</f>
        <v>0</v>
      </c>
      <c r="Q312" s="147"/>
      <c r="R312" s="147"/>
      <c r="S312" s="147">
        <f>S313</f>
        <v>0</v>
      </c>
      <c r="T312" s="147">
        <f>T313</f>
        <v>0</v>
      </c>
      <c r="U312" s="147">
        <f>U313</f>
        <v>0</v>
      </c>
      <c r="V312" s="147">
        <f aca="true" t="shared" si="97" ref="V312:V322">E312+M312</f>
        <v>0</v>
      </c>
    </row>
    <row r="313" spans="1:22" s="97" customFormat="1" ht="28.5" customHeight="1" hidden="1">
      <c r="A313" s="145" t="s">
        <v>369</v>
      </c>
      <c r="B313" s="158"/>
      <c r="C313" s="145"/>
      <c r="D313" s="146" t="s">
        <v>870</v>
      </c>
      <c r="E313" s="147">
        <f>E314+E316+E323+E325+E327+E331+E333+E335</f>
        <v>0</v>
      </c>
      <c r="F313" s="147">
        <f>F314+F316+F323+F325+F327+F331+F333+F335</f>
        <v>0</v>
      </c>
      <c r="G313" s="147">
        <f aca="true" t="shared" si="98" ref="G313:U313">G314+G316+G323+G325+G327+G331+G333+G335</f>
        <v>0</v>
      </c>
      <c r="H313" s="147">
        <f t="shared" si="98"/>
        <v>0</v>
      </c>
      <c r="I313" s="147">
        <f t="shared" si="98"/>
        <v>0</v>
      </c>
      <c r="J313" s="147">
        <f t="shared" si="98"/>
        <v>0</v>
      </c>
      <c r="K313" s="147">
        <f t="shared" si="98"/>
        <v>0</v>
      </c>
      <c r="L313" s="147">
        <f t="shared" si="98"/>
        <v>0</v>
      </c>
      <c r="M313" s="147">
        <f>M314+M316+M323+M326+M329+M330+M331+M333+M335</f>
        <v>0</v>
      </c>
      <c r="N313" s="147">
        <f aca="true" t="shared" si="99" ref="N313:S313">N314+N316+N323+N326+N329+N331+N333+N335+N330</f>
        <v>0</v>
      </c>
      <c r="O313" s="147">
        <f t="shared" si="99"/>
        <v>0</v>
      </c>
      <c r="P313" s="147">
        <f t="shared" si="99"/>
        <v>0</v>
      </c>
      <c r="Q313" s="147">
        <f t="shared" si="99"/>
        <v>0</v>
      </c>
      <c r="R313" s="147">
        <f t="shared" si="99"/>
        <v>0</v>
      </c>
      <c r="S313" s="147">
        <f t="shared" si="99"/>
        <v>0</v>
      </c>
      <c r="T313" s="147">
        <f>T314+T316+T323+T326+T329+T331+T333+T335+T330</f>
        <v>0</v>
      </c>
      <c r="U313" s="147">
        <f t="shared" si="98"/>
        <v>0</v>
      </c>
      <c r="V313" s="147">
        <f t="shared" si="97"/>
        <v>0</v>
      </c>
    </row>
    <row r="314" spans="1:22" ht="54" customHeight="1" hidden="1">
      <c r="A314" s="44" t="s">
        <v>370</v>
      </c>
      <c r="B314" s="109" t="s">
        <v>367</v>
      </c>
      <c r="C314" s="109" t="s">
        <v>105</v>
      </c>
      <c r="D314" s="148" t="s">
        <v>360</v>
      </c>
      <c r="E314" s="147">
        <f>F314+L314</f>
        <v>0</v>
      </c>
      <c r="F314" s="149">
        <f>SUM(G314:L314)</f>
        <v>0</v>
      </c>
      <c r="G314" s="149"/>
      <c r="H314" s="149"/>
      <c r="I314" s="149"/>
      <c r="J314" s="149"/>
      <c r="K314" s="149"/>
      <c r="L314" s="150"/>
      <c r="M314" s="147">
        <f>O314+T314</f>
        <v>0</v>
      </c>
      <c r="N314" s="149">
        <f>T314</f>
        <v>0</v>
      </c>
      <c r="O314" s="149"/>
      <c r="P314" s="149"/>
      <c r="Q314" s="149"/>
      <c r="R314" s="149"/>
      <c r="S314" s="149"/>
      <c r="T314" s="149"/>
      <c r="U314" s="149"/>
      <c r="V314" s="147">
        <f t="shared" si="97"/>
        <v>0</v>
      </c>
    </row>
    <row r="315" spans="1:22" s="214" customFormat="1" ht="69" hidden="1">
      <c r="A315" s="44" t="s">
        <v>920</v>
      </c>
      <c r="B315" s="109" t="s">
        <v>849</v>
      </c>
      <c r="C315" s="109" t="s">
        <v>105</v>
      </c>
      <c r="D315" s="163" t="s">
        <v>921</v>
      </c>
      <c r="E315" s="147">
        <f>F315+L315</f>
        <v>0</v>
      </c>
      <c r="F315" s="149">
        <f>G315+H315+I315+J315+K315</f>
        <v>0</v>
      </c>
      <c r="G315" s="149"/>
      <c r="H315" s="149"/>
      <c r="I315" s="149"/>
      <c r="J315" s="149"/>
      <c r="K315" s="149"/>
      <c r="L315" s="150"/>
      <c r="M315" s="147">
        <f>O315+T315</f>
        <v>0</v>
      </c>
      <c r="N315" s="149"/>
      <c r="O315" s="149"/>
      <c r="P315" s="149"/>
      <c r="Q315" s="149"/>
      <c r="R315" s="149"/>
      <c r="S315" s="149"/>
      <c r="T315" s="149"/>
      <c r="U315" s="150"/>
      <c r="V315" s="147">
        <f t="shared" si="97"/>
        <v>0</v>
      </c>
    </row>
    <row r="316" spans="1:22" ht="38.25" customHeight="1" hidden="1">
      <c r="A316" s="50">
        <v>2010180</v>
      </c>
      <c r="B316" s="109" t="s">
        <v>106</v>
      </c>
      <c r="C316" s="109" t="s">
        <v>889</v>
      </c>
      <c r="D316" s="163" t="s">
        <v>76</v>
      </c>
      <c r="E316" s="147">
        <f>F316+L316</f>
        <v>0</v>
      </c>
      <c r="F316" s="149">
        <f>SUM(F317:F322)</f>
        <v>0</v>
      </c>
      <c r="G316" s="149">
        <f aca="true" t="shared" si="100" ref="G316:L316">SUM(G317:G321)</f>
        <v>0</v>
      </c>
      <c r="H316" s="149">
        <f t="shared" si="100"/>
        <v>0</v>
      </c>
      <c r="I316" s="149">
        <f t="shared" si="100"/>
        <v>0</v>
      </c>
      <c r="J316" s="149">
        <f>SUM(J317:J322)</f>
        <v>0</v>
      </c>
      <c r="K316" s="149">
        <f>SUM(K317:K322)</f>
        <v>0</v>
      </c>
      <c r="L316" s="149">
        <f t="shared" si="100"/>
        <v>0</v>
      </c>
      <c r="M316" s="147">
        <f>O316+T316</f>
        <v>0</v>
      </c>
      <c r="N316" s="149">
        <f>N318</f>
        <v>0</v>
      </c>
      <c r="O316" s="149"/>
      <c r="P316" s="149"/>
      <c r="Q316" s="149"/>
      <c r="R316" s="149"/>
      <c r="S316" s="149"/>
      <c r="T316" s="149">
        <f>T318</f>
        <v>0</v>
      </c>
      <c r="U316" s="149"/>
      <c r="V316" s="147">
        <f t="shared" si="97"/>
        <v>0</v>
      </c>
    </row>
    <row r="317" spans="1:22" s="154" customFormat="1" ht="74.25" customHeight="1" hidden="1">
      <c r="A317" s="44"/>
      <c r="B317" s="121"/>
      <c r="C317" s="48" t="s">
        <v>401</v>
      </c>
      <c r="D317" s="157" t="s">
        <v>5</v>
      </c>
      <c r="E317" s="156">
        <f aca="true" t="shared" si="101" ref="E317:E322">F317</f>
        <v>0</v>
      </c>
      <c r="F317" s="152">
        <f aca="true" t="shared" si="102" ref="F317:F322">SUM(G317:K317)</f>
        <v>0</v>
      </c>
      <c r="G317" s="152"/>
      <c r="H317" s="152"/>
      <c r="I317" s="152"/>
      <c r="J317" s="152"/>
      <c r="K317" s="152"/>
      <c r="L317" s="152"/>
      <c r="M317" s="147"/>
      <c r="N317" s="152"/>
      <c r="O317" s="152"/>
      <c r="P317" s="152"/>
      <c r="Q317" s="152"/>
      <c r="R317" s="152"/>
      <c r="S317" s="152"/>
      <c r="T317" s="152"/>
      <c r="U317" s="152"/>
      <c r="V317" s="147">
        <f t="shared" si="97"/>
        <v>0</v>
      </c>
    </row>
    <row r="318" spans="1:22" s="154" customFormat="1" ht="55.5" customHeight="1" hidden="1">
      <c r="A318" s="44"/>
      <c r="B318" s="121"/>
      <c r="C318" s="48"/>
      <c r="D318" s="157" t="s">
        <v>351</v>
      </c>
      <c r="E318" s="156">
        <f t="shared" si="101"/>
        <v>0</v>
      </c>
      <c r="F318" s="152">
        <f t="shared" si="102"/>
        <v>0</v>
      </c>
      <c r="G318" s="152"/>
      <c r="H318" s="152"/>
      <c r="I318" s="152"/>
      <c r="J318" s="152"/>
      <c r="K318" s="152"/>
      <c r="L318" s="152"/>
      <c r="M318" s="156">
        <f>T318</f>
        <v>0</v>
      </c>
      <c r="N318" s="152">
        <f>T318</f>
        <v>0</v>
      </c>
      <c r="O318" s="152"/>
      <c r="P318" s="152"/>
      <c r="Q318" s="152"/>
      <c r="R318" s="152"/>
      <c r="S318" s="152"/>
      <c r="T318" s="152">
        <f>200000+800000-1000000</f>
        <v>0</v>
      </c>
      <c r="U318" s="152"/>
      <c r="V318" s="147">
        <f t="shared" si="97"/>
        <v>0</v>
      </c>
    </row>
    <row r="319" spans="1:22" s="154" customFormat="1" ht="27" hidden="1">
      <c r="A319" s="44"/>
      <c r="B319" s="121"/>
      <c r="C319" s="48"/>
      <c r="D319" s="157" t="s">
        <v>19</v>
      </c>
      <c r="E319" s="156">
        <f t="shared" si="101"/>
        <v>0</v>
      </c>
      <c r="F319" s="152">
        <f t="shared" si="102"/>
        <v>0</v>
      </c>
      <c r="G319" s="152"/>
      <c r="H319" s="152"/>
      <c r="I319" s="152"/>
      <c r="J319" s="152"/>
      <c r="K319" s="152"/>
      <c r="L319" s="152"/>
      <c r="M319" s="147"/>
      <c r="N319" s="152"/>
      <c r="O319" s="152"/>
      <c r="P319" s="152"/>
      <c r="Q319" s="152"/>
      <c r="R319" s="152"/>
      <c r="S319" s="152"/>
      <c r="T319" s="152"/>
      <c r="U319" s="152"/>
      <c r="V319" s="147">
        <f t="shared" si="97"/>
        <v>0</v>
      </c>
    </row>
    <row r="320" spans="1:22" s="154" customFormat="1" ht="56.25" customHeight="1" hidden="1">
      <c r="A320" s="44"/>
      <c r="B320" s="121"/>
      <c r="C320" s="48"/>
      <c r="D320" s="157" t="s">
        <v>417</v>
      </c>
      <c r="E320" s="156">
        <f t="shared" si="101"/>
        <v>0</v>
      </c>
      <c r="F320" s="152">
        <f t="shared" si="102"/>
        <v>0</v>
      </c>
      <c r="G320" s="152"/>
      <c r="H320" s="152"/>
      <c r="I320" s="152"/>
      <c r="J320" s="152"/>
      <c r="K320" s="152"/>
      <c r="L320" s="152"/>
      <c r="M320" s="147"/>
      <c r="N320" s="152"/>
      <c r="O320" s="152"/>
      <c r="P320" s="152"/>
      <c r="Q320" s="152"/>
      <c r="R320" s="152"/>
      <c r="S320" s="152"/>
      <c r="T320" s="152"/>
      <c r="U320" s="152"/>
      <c r="V320" s="147">
        <f t="shared" si="97"/>
        <v>0</v>
      </c>
    </row>
    <row r="321" spans="1:22" s="154" customFormat="1" ht="82.5" hidden="1">
      <c r="A321" s="44"/>
      <c r="B321" s="121"/>
      <c r="C321" s="48"/>
      <c r="D321" s="157" t="s">
        <v>813</v>
      </c>
      <c r="E321" s="156">
        <f t="shared" si="101"/>
        <v>0</v>
      </c>
      <c r="F321" s="152">
        <f t="shared" si="102"/>
        <v>0</v>
      </c>
      <c r="G321" s="152"/>
      <c r="H321" s="152"/>
      <c r="I321" s="152"/>
      <c r="J321" s="152"/>
      <c r="K321" s="152"/>
      <c r="L321" s="152"/>
      <c r="M321" s="147"/>
      <c r="N321" s="152"/>
      <c r="O321" s="152"/>
      <c r="P321" s="152"/>
      <c r="Q321" s="152"/>
      <c r="R321" s="152"/>
      <c r="S321" s="152"/>
      <c r="T321" s="152"/>
      <c r="U321" s="152"/>
      <c r="V321" s="147">
        <f t="shared" si="97"/>
        <v>0</v>
      </c>
    </row>
    <row r="322" spans="1:22" s="154" customFormat="1" ht="99" customHeight="1" hidden="1">
      <c r="A322" s="44"/>
      <c r="B322" s="121"/>
      <c r="C322" s="48"/>
      <c r="D322" s="157" t="s">
        <v>516</v>
      </c>
      <c r="E322" s="156">
        <f t="shared" si="101"/>
        <v>0</v>
      </c>
      <c r="F322" s="152">
        <f t="shared" si="102"/>
        <v>0</v>
      </c>
      <c r="G322" s="152"/>
      <c r="H322" s="152"/>
      <c r="I322" s="152"/>
      <c r="J322" s="152"/>
      <c r="K322" s="152"/>
      <c r="L322" s="152"/>
      <c r="M322" s="147"/>
      <c r="N322" s="152"/>
      <c r="O322" s="152"/>
      <c r="P322" s="152"/>
      <c r="Q322" s="152"/>
      <c r="R322" s="152"/>
      <c r="S322" s="152"/>
      <c r="T322" s="152"/>
      <c r="U322" s="152"/>
      <c r="V322" s="147">
        <f t="shared" si="97"/>
        <v>0</v>
      </c>
    </row>
    <row r="323" spans="1:22" ht="35.25" customHeight="1" hidden="1">
      <c r="A323" s="44" t="s">
        <v>736</v>
      </c>
      <c r="B323" s="101">
        <v>3242</v>
      </c>
      <c r="C323" s="184" t="s">
        <v>396</v>
      </c>
      <c r="D323" s="186" t="s">
        <v>75</v>
      </c>
      <c r="E323" s="147">
        <f aca="true" t="shared" si="103" ref="E323:K323">E324</f>
        <v>0</v>
      </c>
      <c r="F323" s="99">
        <f t="shared" si="103"/>
        <v>0</v>
      </c>
      <c r="G323" s="99">
        <f t="shared" si="103"/>
        <v>0</v>
      </c>
      <c r="H323" s="99">
        <f t="shared" si="103"/>
        <v>0</v>
      </c>
      <c r="I323" s="99">
        <f t="shared" si="103"/>
        <v>0</v>
      </c>
      <c r="J323" s="99">
        <f t="shared" si="103"/>
        <v>0</v>
      </c>
      <c r="K323" s="99">
        <f t="shared" si="103"/>
        <v>0</v>
      </c>
      <c r="L323" s="149"/>
      <c r="M323" s="147">
        <f>O323+T323</f>
        <v>0</v>
      </c>
      <c r="N323" s="149"/>
      <c r="O323" s="149"/>
      <c r="P323" s="149"/>
      <c r="Q323" s="149"/>
      <c r="R323" s="149"/>
      <c r="S323" s="149"/>
      <c r="T323" s="149"/>
      <c r="U323" s="149"/>
      <c r="V323" s="147">
        <f>M323+E323</f>
        <v>0</v>
      </c>
    </row>
    <row r="324" spans="1:22" s="154" customFormat="1" ht="129" customHeight="1" hidden="1">
      <c r="A324" s="44"/>
      <c r="B324" s="121"/>
      <c r="C324" s="48"/>
      <c r="D324" s="290" t="s">
        <v>20</v>
      </c>
      <c r="E324" s="156">
        <f>F324+L324</f>
        <v>0</v>
      </c>
      <c r="F324" s="152">
        <f>SUM(G324:K324)</f>
        <v>0</v>
      </c>
      <c r="G324" s="152"/>
      <c r="H324" s="152"/>
      <c r="I324" s="152"/>
      <c r="J324" s="152"/>
      <c r="K324" s="152"/>
      <c r="L324" s="152"/>
      <c r="M324" s="147"/>
      <c r="N324" s="152"/>
      <c r="O324" s="152"/>
      <c r="P324" s="152"/>
      <c r="Q324" s="152"/>
      <c r="R324" s="152"/>
      <c r="S324" s="152"/>
      <c r="T324" s="152"/>
      <c r="U324" s="152"/>
      <c r="V324" s="156">
        <f aca="true" t="shared" si="104" ref="V324:V336">E324+M324</f>
        <v>0</v>
      </c>
    </row>
    <row r="325" spans="1:22" ht="34.5" customHeight="1" hidden="1">
      <c r="A325" s="44" t="s">
        <v>611</v>
      </c>
      <c r="B325" s="101">
        <v>4080</v>
      </c>
      <c r="C325" s="109"/>
      <c r="D325" s="148" t="s">
        <v>426</v>
      </c>
      <c r="E325" s="147">
        <f>F325+L325</f>
        <v>0</v>
      </c>
      <c r="F325" s="149">
        <f>F326</f>
        <v>0</v>
      </c>
      <c r="G325" s="149">
        <f aca="true" t="shared" si="105" ref="G325:L325">G326</f>
        <v>0</v>
      </c>
      <c r="H325" s="149">
        <f t="shared" si="105"/>
        <v>0</v>
      </c>
      <c r="I325" s="149">
        <f t="shared" si="105"/>
        <v>0</v>
      </c>
      <c r="J325" s="149">
        <f t="shared" si="105"/>
        <v>0</v>
      </c>
      <c r="K325" s="149">
        <f t="shared" si="105"/>
        <v>0</v>
      </c>
      <c r="L325" s="149">
        <f t="shared" si="105"/>
        <v>0</v>
      </c>
      <c r="M325" s="147" t="e">
        <f>O325+T325</f>
        <v>#REF!</v>
      </c>
      <c r="N325" s="149">
        <f>O325</f>
        <v>0</v>
      </c>
      <c r="O325" s="149"/>
      <c r="P325" s="149"/>
      <c r="Q325" s="149"/>
      <c r="R325" s="149"/>
      <c r="S325" s="149"/>
      <c r="T325" s="149" t="e">
        <f>#REF!</f>
        <v>#REF!</v>
      </c>
      <c r="U325" s="149"/>
      <c r="V325" s="147" t="e">
        <f t="shared" si="104"/>
        <v>#REF!</v>
      </c>
    </row>
    <row r="326" spans="1:22" ht="15" hidden="1">
      <c r="A326" s="44" t="s">
        <v>732</v>
      </c>
      <c r="B326" s="101">
        <v>4082</v>
      </c>
      <c r="C326" s="109" t="s">
        <v>723</v>
      </c>
      <c r="D326" s="148" t="s">
        <v>737</v>
      </c>
      <c r="E326" s="147">
        <f>F326+L326</f>
        <v>0</v>
      </c>
      <c r="F326" s="149">
        <f>SUM(G326:K326)</f>
        <v>0</v>
      </c>
      <c r="G326" s="149"/>
      <c r="H326" s="149"/>
      <c r="I326" s="149"/>
      <c r="J326" s="149"/>
      <c r="K326" s="149"/>
      <c r="L326" s="149"/>
      <c r="M326" s="147"/>
      <c r="N326" s="149"/>
      <c r="O326" s="149"/>
      <c r="P326" s="149"/>
      <c r="Q326" s="149"/>
      <c r="R326" s="149"/>
      <c r="S326" s="149"/>
      <c r="T326" s="149"/>
      <c r="U326" s="149"/>
      <c r="V326" s="147">
        <f t="shared" si="104"/>
        <v>0</v>
      </c>
    </row>
    <row r="327" spans="1:22" ht="15" hidden="1">
      <c r="A327" s="44" t="s">
        <v>610</v>
      </c>
      <c r="B327" s="101">
        <v>8400</v>
      </c>
      <c r="C327" s="109"/>
      <c r="D327" s="148" t="s">
        <v>341</v>
      </c>
      <c r="E327" s="147">
        <f>E328+E329</f>
        <v>0</v>
      </c>
      <c r="F327" s="149">
        <f>F328+F329</f>
        <v>0</v>
      </c>
      <c r="G327" s="149">
        <f>G328</f>
        <v>0</v>
      </c>
      <c r="H327" s="149">
        <f>H328</f>
        <v>0</v>
      </c>
      <c r="I327" s="149">
        <f>I328</f>
        <v>0</v>
      </c>
      <c r="J327" s="149">
        <f>J328</f>
        <v>0</v>
      </c>
      <c r="K327" s="149">
        <f>SUM(K328:K329)</f>
        <v>0</v>
      </c>
      <c r="L327" s="149"/>
      <c r="M327" s="147">
        <f>O327+T327</f>
        <v>0</v>
      </c>
      <c r="N327" s="149"/>
      <c r="O327" s="149"/>
      <c r="P327" s="149"/>
      <c r="Q327" s="149"/>
      <c r="R327" s="149"/>
      <c r="S327" s="149"/>
      <c r="T327" s="149"/>
      <c r="U327" s="149"/>
      <c r="V327" s="147">
        <f t="shared" si="104"/>
        <v>0</v>
      </c>
    </row>
    <row r="328" spans="1:22" ht="27" hidden="1">
      <c r="A328" s="47" t="s">
        <v>609</v>
      </c>
      <c r="B328" s="121">
        <v>8410</v>
      </c>
      <c r="C328" s="109" t="s">
        <v>899</v>
      </c>
      <c r="D328" s="49" t="s">
        <v>608</v>
      </c>
      <c r="E328" s="147">
        <f>F328+L328</f>
        <v>0</v>
      </c>
      <c r="F328" s="149">
        <f>SUM(G328:K328)</f>
        <v>0</v>
      </c>
      <c r="G328" s="149"/>
      <c r="H328" s="149"/>
      <c r="I328" s="149"/>
      <c r="J328" s="149"/>
      <c r="K328" s="149"/>
      <c r="L328" s="149"/>
      <c r="M328" s="147">
        <f>O328+T328</f>
        <v>0</v>
      </c>
      <c r="N328" s="149"/>
      <c r="O328" s="149"/>
      <c r="P328" s="149"/>
      <c r="Q328" s="149"/>
      <c r="R328" s="149"/>
      <c r="S328" s="149"/>
      <c r="T328" s="149"/>
      <c r="U328" s="149"/>
      <c r="V328" s="147">
        <f t="shared" si="104"/>
        <v>0</v>
      </c>
    </row>
    <row r="329" spans="1:22" ht="15" hidden="1">
      <c r="A329" s="44" t="s">
        <v>384</v>
      </c>
      <c r="B329" s="101">
        <v>8420</v>
      </c>
      <c r="C329" s="109" t="s">
        <v>899</v>
      </c>
      <c r="D329" s="46" t="s">
        <v>392</v>
      </c>
      <c r="E329" s="147">
        <f>F329+L329</f>
        <v>0</v>
      </c>
      <c r="F329" s="149">
        <f>SUM(G329:K329)</f>
        <v>0</v>
      </c>
      <c r="G329" s="149"/>
      <c r="H329" s="149"/>
      <c r="I329" s="149"/>
      <c r="J329" s="149"/>
      <c r="K329" s="149"/>
      <c r="L329" s="149"/>
      <c r="M329" s="147"/>
      <c r="N329" s="149"/>
      <c r="O329" s="149"/>
      <c r="P329" s="149"/>
      <c r="Q329" s="149"/>
      <c r="R329" s="149"/>
      <c r="S329" s="149"/>
      <c r="T329" s="149"/>
      <c r="U329" s="149"/>
      <c r="V329" s="147">
        <f t="shared" si="104"/>
        <v>0</v>
      </c>
    </row>
    <row r="330" spans="1:22" ht="27" hidden="1">
      <c r="A330" s="44" t="s">
        <v>513</v>
      </c>
      <c r="B330" s="101">
        <v>7370</v>
      </c>
      <c r="C330" s="109" t="s">
        <v>411</v>
      </c>
      <c r="D330" s="46" t="s">
        <v>15</v>
      </c>
      <c r="E330" s="147"/>
      <c r="F330" s="149"/>
      <c r="G330" s="149"/>
      <c r="H330" s="149"/>
      <c r="I330" s="149"/>
      <c r="J330" s="149"/>
      <c r="K330" s="149"/>
      <c r="L330" s="149"/>
      <c r="M330" s="147">
        <f>T330</f>
        <v>0</v>
      </c>
      <c r="N330" s="149">
        <f>T330</f>
        <v>0</v>
      </c>
      <c r="O330" s="149"/>
      <c r="P330" s="149"/>
      <c r="Q330" s="149"/>
      <c r="R330" s="149"/>
      <c r="S330" s="149"/>
      <c r="T330" s="149"/>
      <c r="U330" s="149"/>
      <c r="V330" s="147">
        <f t="shared" si="104"/>
        <v>0</v>
      </c>
    </row>
    <row r="331" spans="1:22" ht="27" hidden="1">
      <c r="A331" s="44" t="s">
        <v>6</v>
      </c>
      <c r="B331" s="101">
        <v>7680</v>
      </c>
      <c r="C331" s="109" t="s">
        <v>411</v>
      </c>
      <c r="D331" s="148" t="s">
        <v>7</v>
      </c>
      <c r="E331" s="147">
        <f>E332</f>
        <v>0</v>
      </c>
      <c r="F331" s="149">
        <f>F332</f>
        <v>0</v>
      </c>
      <c r="G331" s="149">
        <f aca="true" t="shared" si="106" ref="G331:L331">G332</f>
        <v>0</v>
      </c>
      <c r="H331" s="149">
        <f t="shared" si="106"/>
        <v>0</v>
      </c>
      <c r="I331" s="149">
        <f t="shared" si="106"/>
        <v>0</v>
      </c>
      <c r="J331" s="149">
        <f t="shared" si="106"/>
        <v>0</v>
      </c>
      <c r="K331" s="149">
        <f t="shared" si="106"/>
        <v>0</v>
      </c>
      <c r="L331" s="149">
        <f t="shared" si="106"/>
        <v>0</v>
      </c>
      <c r="M331" s="147">
        <f>O331+T331</f>
        <v>0</v>
      </c>
      <c r="N331" s="149">
        <f>SUM(N332:N332)</f>
        <v>0</v>
      </c>
      <c r="O331" s="149"/>
      <c r="P331" s="149"/>
      <c r="Q331" s="149"/>
      <c r="R331" s="149"/>
      <c r="S331" s="149"/>
      <c r="T331" s="149">
        <f>SUM(T332:T332)</f>
        <v>0</v>
      </c>
      <c r="U331" s="149"/>
      <c r="V331" s="147">
        <f t="shared" si="104"/>
        <v>0</v>
      </c>
    </row>
    <row r="332" spans="1:22" s="154" customFormat="1" ht="72" customHeight="1" hidden="1">
      <c r="A332" s="44"/>
      <c r="B332" s="121"/>
      <c r="C332" s="48" t="s">
        <v>401</v>
      </c>
      <c r="D332" s="157" t="s">
        <v>668</v>
      </c>
      <c r="E332" s="156">
        <f>F332</f>
        <v>0</v>
      </c>
      <c r="F332" s="152">
        <f>SUM(G331:K331)</f>
        <v>0</v>
      </c>
      <c r="G332" s="152"/>
      <c r="H332" s="152"/>
      <c r="I332" s="152"/>
      <c r="J332" s="152"/>
      <c r="K332" s="152"/>
      <c r="L332" s="152"/>
      <c r="M332" s="147"/>
      <c r="N332" s="152"/>
      <c r="O332" s="152"/>
      <c r="P332" s="152"/>
      <c r="Q332" s="152"/>
      <c r="R332" s="152"/>
      <c r="S332" s="152"/>
      <c r="T332" s="152"/>
      <c r="U332" s="152"/>
      <c r="V332" s="156">
        <f t="shared" si="104"/>
        <v>0</v>
      </c>
    </row>
    <row r="333" spans="1:22" s="214" customFormat="1" ht="33" customHeight="1" hidden="1">
      <c r="A333" s="44" t="s">
        <v>8</v>
      </c>
      <c r="B333" s="101">
        <v>8220</v>
      </c>
      <c r="C333" s="109" t="s">
        <v>102</v>
      </c>
      <c r="D333" s="185" t="s">
        <v>814</v>
      </c>
      <c r="E333" s="147">
        <f>E334</f>
        <v>0</v>
      </c>
      <c r="F333" s="149">
        <f>F334</f>
        <v>0</v>
      </c>
      <c r="G333" s="149">
        <f aca="true" t="shared" si="107" ref="G333:L333">G334</f>
        <v>0</v>
      </c>
      <c r="H333" s="149">
        <f t="shared" si="107"/>
        <v>0</v>
      </c>
      <c r="I333" s="149">
        <f t="shared" si="107"/>
        <v>0</v>
      </c>
      <c r="J333" s="149">
        <f t="shared" si="107"/>
        <v>0</v>
      </c>
      <c r="K333" s="149">
        <f t="shared" si="107"/>
        <v>0</v>
      </c>
      <c r="L333" s="149">
        <f t="shared" si="107"/>
        <v>0</v>
      </c>
      <c r="M333" s="169"/>
      <c r="N333" s="149"/>
      <c r="O333" s="149"/>
      <c r="P333" s="149"/>
      <c r="Q333" s="149"/>
      <c r="R333" s="149"/>
      <c r="S333" s="149"/>
      <c r="T333" s="149"/>
      <c r="U333" s="149"/>
      <c r="V333" s="147">
        <f t="shared" si="104"/>
        <v>0</v>
      </c>
    </row>
    <row r="334" spans="1:22" s="154" customFormat="1" ht="58.5" customHeight="1" hidden="1">
      <c r="A334" s="44"/>
      <c r="B334" s="121"/>
      <c r="C334" s="48"/>
      <c r="D334" s="157" t="s">
        <v>87</v>
      </c>
      <c r="E334" s="156">
        <f>F334</f>
        <v>0</v>
      </c>
      <c r="F334" s="152">
        <f>SUM(G334:K334)</f>
        <v>0</v>
      </c>
      <c r="G334" s="152"/>
      <c r="H334" s="152"/>
      <c r="I334" s="152"/>
      <c r="J334" s="152"/>
      <c r="K334" s="152"/>
      <c r="L334" s="152"/>
      <c r="M334" s="147"/>
      <c r="N334" s="152"/>
      <c r="O334" s="152"/>
      <c r="P334" s="152"/>
      <c r="Q334" s="152"/>
      <c r="R334" s="152"/>
      <c r="S334" s="152"/>
      <c r="T334" s="152"/>
      <c r="U334" s="152"/>
      <c r="V334" s="156">
        <f t="shared" si="104"/>
        <v>0</v>
      </c>
    </row>
    <row r="335" spans="1:22" s="214" customFormat="1" ht="15" hidden="1">
      <c r="A335" s="44" t="s">
        <v>9</v>
      </c>
      <c r="B335" s="101">
        <v>8230</v>
      </c>
      <c r="C335" s="109" t="s">
        <v>102</v>
      </c>
      <c r="D335" s="185" t="s">
        <v>10</v>
      </c>
      <c r="E335" s="147">
        <f aca="true" t="shared" si="108" ref="E335:L335">E336</f>
        <v>0</v>
      </c>
      <c r="F335" s="149">
        <f t="shared" si="108"/>
        <v>0</v>
      </c>
      <c r="G335" s="149">
        <f t="shared" si="108"/>
        <v>0</v>
      </c>
      <c r="H335" s="149">
        <f t="shared" si="108"/>
        <v>0</v>
      </c>
      <c r="I335" s="149">
        <f t="shared" si="108"/>
        <v>0</v>
      </c>
      <c r="J335" s="149">
        <f t="shared" si="108"/>
        <v>0</v>
      </c>
      <c r="K335" s="149">
        <f t="shared" si="108"/>
        <v>0</v>
      </c>
      <c r="L335" s="149">
        <f t="shared" si="108"/>
        <v>0</v>
      </c>
      <c r="M335" s="169"/>
      <c r="N335" s="149"/>
      <c r="O335" s="149"/>
      <c r="P335" s="149"/>
      <c r="Q335" s="149"/>
      <c r="R335" s="149"/>
      <c r="S335" s="149"/>
      <c r="T335" s="149"/>
      <c r="U335" s="149"/>
      <c r="V335" s="147">
        <f t="shared" si="104"/>
        <v>0</v>
      </c>
    </row>
    <row r="336" spans="1:22" s="154" customFormat="1" ht="55.5" customHeight="1" hidden="1">
      <c r="A336" s="44"/>
      <c r="B336" s="121"/>
      <c r="C336" s="48"/>
      <c r="D336" s="157" t="s">
        <v>88</v>
      </c>
      <c r="E336" s="156">
        <f>F336</f>
        <v>0</v>
      </c>
      <c r="F336" s="152">
        <f>SUM(G336:K336)</f>
        <v>0</v>
      </c>
      <c r="G336" s="152"/>
      <c r="H336" s="152"/>
      <c r="I336" s="152"/>
      <c r="J336" s="152"/>
      <c r="K336" s="152"/>
      <c r="L336" s="152"/>
      <c r="M336" s="147"/>
      <c r="N336" s="152"/>
      <c r="O336" s="152"/>
      <c r="P336" s="152"/>
      <c r="Q336" s="152"/>
      <c r="R336" s="152"/>
      <c r="S336" s="152"/>
      <c r="T336" s="152"/>
      <c r="U336" s="152"/>
      <c r="V336" s="156">
        <f t="shared" si="104"/>
        <v>0</v>
      </c>
    </row>
    <row r="337" spans="1:22" s="154" customFormat="1" ht="15">
      <c r="A337" s="145" t="s">
        <v>385</v>
      </c>
      <c r="B337" s="158"/>
      <c r="C337" s="158"/>
      <c r="D337" s="159" t="s">
        <v>388</v>
      </c>
      <c r="E337" s="147">
        <f aca="true" t="shared" si="109" ref="E337:T337">E338</f>
        <v>13051403.379999999</v>
      </c>
      <c r="F337" s="147">
        <f t="shared" si="109"/>
        <v>13051403.379999999</v>
      </c>
      <c r="G337" s="147">
        <f t="shared" si="109"/>
        <v>5209363.38</v>
      </c>
      <c r="H337" s="147">
        <f t="shared" si="109"/>
        <v>0</v>
      </c>
      <c r="I337" s="147">
        <f t="shared" si="109"/>
        <v>0</v>
      </c>
      <c r="J337" s="147">
        <f t="shared" si="109"/>
        <v>0</v>
      </c>
      <c r="K337" s="147">
        <f t="shared" si="109"/>
        <v>7842040</v>
      </c>
      <c r="L337" s="147">
        <f t="shared" si="109"/>
        <v>0</v>
      </c>
      <c r="M337" s="147">
        <f t="shared" si="109"/>
        <v>0</v>
      </c>
      <c r="N337" s="147">
        <f t="shared" si="109"/>
        <v>0</v>
      </c>
      <c r="O337" s="147">
        <f t="shared" si="109"/>
        <v>0</v>
      </c>
      <c r="P337" s="147">
        <f t="shared" si="109"/>
        <v>0</v>
      </c>
      <c r="Q337" s="147">
        <f t="shared" si="109"/>
        <v>0</v>
      </c>
      <c r="R337" s="147">
        <f t="shared" si="109"/>
        <v>0</v>
      </c>
      <c r="S337" s="147">
        <f t="shared" si="109"/>
        <v>0</v>
      </c>
      <c r="T337" s="147">
        <f t="shared" si="109"/>
        <v>0</v>
      </c>
      <c r="U337" s="147">
        <f>U338</f>
        <v>0</v>
      </c>
      <c r="V337" s="147">
        <f>M337+E337</f>
        <v>13051403.379999999</v>
      </c>
    </row>
    <row r="338" spans="1:22" s="154" customFormat="1" ht="15">
      <c r="A338" s="145" t="s">
        <v>386</v>
      </c>
      <c r="B338" s="158"/>
      <c r="C338" s="158"/>
      <c r="D338" s="159" t="s">
        <v>388</v>
      </c>
      <c r="E338" s="147">
        <f>E339+E340+E347+E349+E351+E345</f>
        <v>13051403.379999999</v>
      </c>
      <c r="F338" s="147">
        <f>F339+F340+F347+F349+F351+F345</f>
        <v>13051403.379999999</v>
      </c>
      <c r="G338" s="147">
        <f>G339+G340+G347+G349+G351+G345</f>
        <v>5209363.38</v>
      </c>
      <c r="H338" s="147">
        <f>H339+H340+H347+H349+H351</f>
        <v>0</v>
      </c>
      <c r="I338" s="147">
        <f>I339+I340+I347+I349+I351</f>
        <v>0</v>
      </c>
      <c r="J338" s="147">
        <f>J339+J340+J347+J349+J351</f>
        <v>0</v>
      </c>
      <c r="K338" s="147">
        <f>K339+K340+K347+K349+K351+K345</f>
        <v>7842040</v>
      </c>
      <c r="L338" s="147">
        <f>L339+L340+L347+L349+L351</f>
        <v>0</v>
      </c>
      <c r="M338" s="147">
        <f>M344</f>
        <v>0</v>
      </c>
      <c r="N338" s="147">
        <f>N344</f>
        <v>0</v>
      </c>
      <c r="O338" s="147">
        <f aca="true" t="shared" si="110" ref="O338:U338">O339+O340+O347</f>
        <v>0</v>
      </c>
      <c r="P338" s="147">
        <f t="shared" si="110"/>
        <v>0</v>
      </c>
      <c r="Q338" s="147">
        <f t="shared" si="110"/>
        <v>0</v>
      </c>
      <c r="R338" s="147">
        <f t="shared" si="110"/>
        <v>0</v>
      </c>
      <c r="S338" s="147">
        <f t="shared" si="110"/>
        <v>0</v>
      </c>
      <c r="T338" s="147">
        <f>T344</f>
        <v>0</v>
      </c>
      <c r="U338" s="147">
        <f t="shared" si="110"/>
        <v>0</v>
      </c>
      <c r="V338" s="147">
        <f>V339+V340+V347+V349+V351+V345+V344</f>
        <v>13051403.379999999</v>
      </c>
    </row>
    <row r="339" spans="1:22" s="154" customFormat="1" ht="48" customHeight="1">
      <c r="A339" s="44" t="s">
        <v>387</v>
      </c>
      <c r="B339" s="109" t="s">
        <v>367</v>
      </c>
      <c r="C339" s="109" t="s">
        <v>105</v>
      </c>
      <c r="D339" s="148" t="s">
        <v>360</v>
      </c>
      <c r="E339" s="147">
        <f>F339</f>
        <v>5045667.38</v>
      </c>
      <c r="F339" s="149">
        <f>SUM(G339:K339)</f>
        <v>5045667.38</v>
      </c>
      <c r="G339" s="149">
        <f>5490660-925456.62</f>
        <v>4565203.38</v>
      </c>
      <c r="H339" s="149"/>
      <c r="I339" s="149"/>
      <c r="J339" s="149"/>
      <c r="K339" s="149">
        <v>480464</v>
      </c>
      <c r="L339" s="149"/>
      <c r="M339" s="147">
        <f>O339+T339</f>
        <v>0</v>
      </c>
      <c r="N339" s="149">
        <f>T339</f>
        <v>0</v>
      </c>
      <c r="O339" s="149"/>
      <c r="P339" s="149"/>
      <c r="Q339" s="149"/>
      <c r="R339" s="149"/>
      <c r="S339" s="149"/>
      <c r="T339" s="149"/>
      <c r="U339" s="149"/>
      <c r="V339" s="147">
        <f>M339+E339</f>
        <v>5045667.38</v>
      </c>
    </row>
    <row r="340" spans="1:22" s="154" customFormat="1" ht="26.25" customHeight="1">
      <c r="A340" s="44" t="s">
        <v>287</v>
      </c>
      <c r="B340" s="109" t="s">
        <v>106</v>
      </c>
      <c r="C340" s="109" t="s">
        <v>889</v>
      </c>
      <c r="D340" s="163" t="s">
        <v>76</v>
      </c>
      <c r="E340" s="147">
        <f>E341+E343+E342</f>
        <v>5920336</v>
      </c>
      <c r="F340" s="149">
        <f>F341+F343++F342</f>
        <v>5920336</v>
      </c>
      <c r="G340" s="149"/>
      <c r="H340" s="149">
        <f>H341+H343</f>
        <v>0</v>
      </c>
      <c r="I340" s="149">
        <f>I341+I343</f>
        <v>0</v>
      </c>
      <c r="J340" s="149">
        <f>J341+J343</f>
        <v>0</v>
      </c>
      <c r="K340" s="149">
        <f>K341+K343+K342</f>
        <v>5920336</v>
      </c>
      <c r="L340" s="149">
        <f>L341+L343</f>
        <v>0</v>
      </c>
      <c r="M340" s="147">
        <f>T340</f>
        <v>0</v>
      </c>
      <c r="N340" s="149">
        <f>N343</f>
        <v>0</v>
      </c>
      <c r="O340" s="149"/>
      <c r="P340" s="149"/>
      <c r="Q340" s="149"/>
      <c r="R340" s="149"/>
      <c r="S340" s="149"/>
      <c r="T340" s="149">
        <f>T343</f>
        <v>0</v>
      </c>
      <c r="U340" s="149"/>
      <c r="V340" s="147">
        <f aca="true" t="shared" si="111" ref="V340:V352">M340+E340</f>
        <v>5920336</v>
      </c>
    </row>
    <row r="341" spans="1:22" s="154" customFormat="1" ht="63.75" customHeight="1">
      <c r="A341" s="44"/>
      <c r="B341" s="109"/>
      <c r="C341" s="109"/>
      <c r="D341" s="157" t="s">
        <v>5</v>
      </c>
      <c r="E341" s="156">
        <f aca="true" t="shared" si="112" ref="E341:E352">F341+L341</f>
        <v>240000</v>
      </c>
      <c r="F341" s="152">
        <f aca="true" t="shared" si="113" ref="F341:F351">SUM(G341:K341)</f>
        <v>240000</v>
      </c>
      <c r="G341" s="152"/>
      <c r="H341" s="152"/>
      <c r="I341" s="152"/>
      <c r="J341" s="152"/>
      <c r="K341" s="152">
        <f>420000-105000-26000-49000</f>
        <v>240000</v>
      </c>
      <c r="L341" s="149"/>
      <c r="M341" s="147"/>
      <c r="N341" s="149"/>
      <c r="O341" s="149"/>
      <c r="P341" s="149"/>
      <c r="Q341" s="149"/>
      <c r="R341" s="149"/>
      <c r="S341" s="149"/>
      <c r="T341" s="149"/>
      <c r="U341" s="149"/>
      <c r="V341" s="147">
        <f t="shared" si="111"/>
        <v>240000</v>
      </c>
    </row>
    <row r="342" spans="1:22" s="154" customFormat="1" ht="32.25" customHeight="1">
      <c r="A342" s="44"/>
      <c r="B342" s="109"/>
      <c r="C342" s="109"/>
      <c r="D342" s="157" t="s">
        <v>202</v>
      </c>
      <c r="E342" s="156">
        <f t="shared" si="112"/>
        <v>185000</v>
      </c>
      <c r="F342" s="152">
        <f t="shared" si="113"/>
        <v>185000</v>
      </c>
      <c r="G342" s="152"/>
      <c r="H342" s="152"/>
      <c r="I342" s="152"/>
      <c r="J342" s="152"/>
      <c r="K342" s="152">
        <v>185000</v>
      </c>
      <c r="L342" s="149"/>
      <c r="M342" s="147"/>
      <c r="N342" s="149"/>
      <c r="O342" s="149"/>
      <c r="P342" s="149"/>
      <c r="Q342" s="149"/>
      <c r="R342" s="149"/>
      <c r="S342" s="149"/>
      <c r="T342" s="149"/>
      <c r="U342" s="149"/>
      <c r="V342" s="147">
        <f t="shared" si="111"/>
        <v>185000</v>
      </c>
    </row>
    <row r="343" spans="1:22" s="154" customFormat="1" ht="45.75" customHeight="1">
      <c r="A343" s="44"/>
      <c r="B343" s="109"/>
      <c r="C343" s="109"/>
      <c r="D343" s="157" t="s">
        <v>351</v>
      </c>
      <c r="E343" s="156">
        <f t="shared" si="112"/>
        <v>5495336</v>
      </c>
      <c r="F343" s="152">
        <f t="shared" si="113"/>
        <v>5495336</v>
      </c>
      <c r="G343" s="152"/>
      <c r="H343" s="152"/>
      <c r="I343" s="152"/>
      <c r="J343" s="152"/>
      <c r="K343" s="152">
        <f>5643250-147914</f>
        <v>5495336</v>
      </c>
      <c r="L343" s="149"/>
      <c r="M343" s="147">
        <f>T343</f>
        <v>0</v>
      </c>
      <c r="N343" s="149">
        <f>T343</f>
        <v>0</v>
      </c>
      <c r="O343" s="149"/>
      <c r="P343" s="149"/>
      <c r="Q343" s="149"/>
      <c r="R343" s="149"/>
      <c r="S343" s="149"/>
      <c r="T343" s="149"/>
      <c r="U343" s="149"/>
      <c r="V343" s="147">
        <f t="shared" si="111"/>
        <v>5495336</v>
      </c>
    </row>
    <row r="344" spans="1:22" ht="27" hidden="1">
      <c r="A344" s="44" t="s">
        <v>211</v>
      </c>
      <c r="B344" s="109" t="s">
        <v>213</v>
      </c>
      <c r="C344" s="109" t="s">
        <v>758</v>
      </c>
      <c r="D344" s="185" t="s">
        <v>212</v>
      </c>
      <c r="E344" s="156">
        <f t="shared" si="112"/>
        <v>0</v>
      </c>
      <c r="F344" s="149"/>
      <c r="G344" s="149"/>
      <c r="H344" s="149"/>
      <c r="I344" s="149"/>
      <c r="J344" s="149"/>
      <c r="K344" s="149"/>
      <c r="L344" s="149"/>
      <c r="M344" s="147">
        <f>T344</f>
        <v>0</v>
      </c>
      <c r="N344" s="149">
        <f>T344</f>
        <v>0</v>
      </c>
      <c r="O344" s="149"/>
      <c r="P344" s="149"/>
      <c r="Q344" s="149"/>
      <c r="R344" s="149"/>
      <c r="S344" s="149"/>
      <c r="T344" s="149"/>
      <c r="U344" s="149"/>
      <c r="V344" s="147">
        <f t="shared" si="111"/>
        <v>0</v>
      </c>
    </row>
    <row r="345" spans="1:22" ht="36" customHeight="1">
      <c r="A345" s="44" t="s">
        <v>178</v>
      </c>
      <c r="B345" s="101">
        <v>7680</v>
      </c>
      <c r="C345" s="109" t="s">
        <v>411</v>
      </c>
      <c r="D345" s="148" t="s">
        <v>7</v>
      </c>
      <c r="E345" s="147">
        <f>E346</f>
        <v>217300</v>
      </c>
      <c r="F345" s="149">
        <f>F346</f>
        <v>217300</v>
      </c>
      <c r="G345" s="149">
        <f aca="true" t="shared" si="114" ref="G345:L345">G346</f>
        <v>0</v>
      </c>
      <c r="H345" s="149">
        <f t="shared" si="114"/>
        <v>0</v>
      </c>
      <c r="I345" s="149">
        <f t="shared" si="114"/>
        <v>0</v>
      </c>
      <c r="J345" s="149">
        <f t="shared" si="114"/>
        <v>0</v>
      </c>
      <c r="K345" s="149">
        <f t="shared" si="114"/>
        <v>217300</v>
      </c>
      <c r="L345" s="149">
        <f t="shared" si="114"/>
        <v>0</v>
      </c>
      <c r="M345" s="147">
        <f>O345+T345</f>
        <v>0</v>
      </c>
      <c r="N345" s="149">
        <f>SUM(N346:N346)</f>
        <v>0</v>
      </c>
      <c r="O345" s="149"/>
      <c r="P345" s="149"/>
      <c r="Q345" s="149"/>
      <c r="R345" s="149"/>
      <c r="S345" s="149"/>
      <c r="T345" s="149">
        <f>SUM(T346:T346)</f>
        <v>0</v>
      </c>
      <c r="U345" s="149"/>
      <c r="V345" s="147">
        <f>E345+M345</f>
        <v>217300</v>
      </c>
    </row>
    <row r="346" spans="1:22" s="154" customFormat="1" ht="72" customHeight="1">
      <c r="A346" s="44"/>
      <c r="B346" s="121"/>
      <c r="C346" s="48" t="s">
        <v>401</v>
      </c>
      <c r="D346" s="157" t="s">
        <v>668</v>
      </c>
      <c r="E346" s="156">
        <f>F346</f>
        <v>217300</v>
      </c>
      <c r="F346" s="152">
        <f>SUM(G345:K345)</f>
        <v>217300</v>
      </c>
      <c r="G346" s="152"/>
      <c r="H346" s="152"/>
      <c r="I346" s="152"/>
      <c r="J346" s="152"/>
      <c r="K346" s="152">
        <v>217300</v>
      </c>
      <c r="L346" s="152"/>
      <c r="M346" s="147"/>
      <c r="N346" s="152"/>
      <c r="O346" s="152"/>
      <c r="P346" s="152"/>
      <c r="Q346" s="152"/>
      <c r="R346" s="152"/>
      <c r="S346" s="152"/>
      <c r="T346" s="152"/>
      <c r="U346" s="152"/>
      <c r="V346" s="156">
        <f>E346+M346</f>
        <v>217300</v>
      </c>
    </row>
    <row r="347" spans="1:22" s="154" customFormat="1" ht="33" customHeight="1">
      <c r="A347" s="44" t="s">
        <v>289</v>
      </c>
      <c r="B347" s="101">
        <v>8220</v>
      </c>
      <c r="C347" s="109" t="s">
        <v>102</v>
      </c>
      <c r="D347" s="185" t="s">
        <v>814</v>
      </c>
      <c r="E347" s="147">
        <f t="shared" si="112"/>
        <v>845704</v>
      </c>
      <c r="F347" s="149">
        <f>SUM(G347:K347)</f>
        <v>845704</v>
      </c>
      <c r="G347" s="149">
        <f>G348</f>
        <v>644160</v>
      </c>
      <c r="H347" s="149"/>
      <c r="I347" s="149"/>
      <c r="J347" s="149"/>
      <c r="K347" s="149">
        <f>K348</f>
        <v>201544</v>
      </c>
      <c r="L347" s="149"/>
      <c r="M347" s="147"/>
      <c r="N347" s="149"/>
      <c r="O347" s="149"/>
      <c r="P347" s="149"/>
      <c r="Q347" s="149"/>
      <c r="R347" s="149"/>
      <c r="S347" s="149"/>
      <c r="T347" s="149"/>
      <c r="U347" s="149"/>
      <c r="V347" s="147">
        <f t="shared" si="111"/>
        <v>845704</v>
      </c>
    </row>
    <row r="348" spans="1:22" s="154" customFormat="1" ht="63.75" customHeight="1">
      <c r="A348" s="44"/>
      <c r="B348" s="121"/>
      <c r="C348" s="48"/>
      <c r="D348" s="157" t="s">
        <v>250</v>
      </c>
      <c r="E348" s="156">
        <f t="shared" si="112"/>
        <v>845704</v>
      </c>
      <c r="F348" s="152">
        <f>SUM(G348:K348)</f>
        <v>845704</v>
      </c>
      <c r="G348" s="152">
        <f>724680-80520</f>
        <v>644160</v>
      </c>
      <c r="H348" s="152"/>
      <c r="I348" s="152"/>
      <c r="J348" s="152"/>
      <c r="K348" s="152">
        <f>231024-29480</f>
        <v>201544</v>
      </c>
      <c r="L348" s="149"/>
      <c r="M348" s="147"/>
      <c r="N348" s="149"/>
      <c r="O348" s="149"/>
      <c r="P348" s="149"/>
      <c r="Q348" s="149"/>
      <c r="R348" s="149"/>
      <c r="S348" s="149"/>
      <c r="T348" s="149"/>
      <c r="U348" s="149"/>
      <c r="V348" s="147">
        <f t="shared" si="111"/>
        <v>845704</v>
      </c>
    </row>
    <row r="349" spans="1:22" s="154" customFormat="1" ht="15" hidden="1">
      <c r="A349" s="44" t="s">
        <v>290</v>
      </c>
      <c r="B349" s="101">
        <v>8230</v>
      </c>
      <c r="C349" s="109" t="s">
        <v>102</v>
      </c>
      <c r="D349" s="185" t="s">
        <v>10</v>
      </c>
      <c r="E349" s="147">
        <f t="shared" si="112"/>
        <v>0</v>
      </c>
      <c r="F349" s="149">
        <f t="shared" si="113"/>
        <v>0</v>
      </c>
      <c r="G349" s="149"/>
      <c r="H349" s="149"/>
      <c r="I349" s="149"/>
      <c r="J349" s="149"/>
      <c r="K349" s="149"/>
      <c r="L349" s="149"/>
      <c r="M349" s="147"/>
      <c r="N349" s="149"/>
      <c r="O349" s="149"/>
      <c r="P349" s="149"/>
      <c r="Q349" s="149"/>
      <c r="R349" s="149"/>
      <c r="S349" s="149"/>
      <c r="T349" s="149"/>
      <c r="U349" s="149"/>
      <c r="V349" s="147">
        <f t="shared" si="111"/>
        <v>0</v>
      </c>
    </row>
    <row r="350" spans="1:22" s="154" customFormat="1" ht="30" customHeight="1" hidden="1">
      <c r="A350" s="44"/>
      <c r="B350" s="121"/>
      <c r="C350" s="48"/>
      <c r="D350" s="157" t="s">
        <v>88</v>
      </c>
      <c r="E350" s="156">
        <f t="shared" si="112"/>
        <v>0</v>
      </c>
      <c r="F350" s="152">
        <f t="shared" si="113"/>
        <v>0</v>
      </c>
      <c r="G350" s="149"/>
      <c r="H350" s="149"/>
      <c r="I350" s="149"/>
      <c r="J350" s="149"/>
      <c r="K350" s="149"/>
      <c r="L350" s="149"/>
      <c r="M350" s="147"/>
      <c r="N350" s="149"/>
      <c r="O350" s="149"/>
      <c r="P350" s="149"/>
      <c r="Q350" s="149"/>
      <c r="R350" s="149"/>
      <c r="S350" s="149"/>
      <c r="T350" s="149"/>
      <c r="U350" s="149"/>
      <c r="V350" s="147">
        <f t="shared" si="111"/>
        <v>0</v>
      </c>
    </row>
    <row r="351" spans="1:22" s="154" customFormat="1" ht="15">
      <c r="A351" s="44" t="s">
        <v>291</v>
      </c>
      <c r="B351" s="101">
        <v>8420</v>
      </c>
      <c r="C351" s="109" t="s">
        <v>899</v>
      </c>
      <c r="D351" s="46" t="s">
        <v>392</v>
      </c>
      <c r="E351" s="147">
        <f t="shared" si="112"/>
        <v>1022396</v>
      </c>
      <c r="F351" s="149">
        <f t="shared" si="113"/>
        <v>1022396</v>
      </c>
      <c r="G351" s="149"/>
      <c r="H351" s="149"/>
      <c r="I351" s="149"/>
      <c r="J351" s="149"/>
      <c r="K351" s="149">
        <f>1012396+10000</f>
        <v>1022396</v>
      </c>
      <c r="L351" s="149"/>
      <c r="M351" s="147"/>
      <c r="N351" s="149"/>
      <c r="O351" s="149"/>
      <c r="P351" s="149"/>
      <c r="Q351" s="149"/>
      <c r="R351" s="149"/>
      <c r="S351" s="149"/>
      <c r="T351" s="149"/>
      <c r="U351" s="149"/>
      <c r="V351" s="147">
        <f t="shared" si="111"/>
        <v>1022396</v>
      </c>
    </row>
    <row r="352" spans="1:22" s="154" customFormat="1" ht="48" customHeight="1" hidden="1">
      <c r="A352" s="44"/>
      <c r="B352" s="101"/>
      <c r="C352" s="109"/>
      <c r="D352" s="49" t="s">
        <v>326</v>
      </c>
      <c r="E352" s="156">
        <f t="shared" si="112"/>
        <v>1022396</v>
      </c>
      <c r="F352" s="152">
        <f>F351</f>
        <v>1022396</v>
      </c>
      <c r="G352" s="152"/>
      <c r="H352" s="152"/>
      <c r="I352" s="152"/>
      <c r="J352" s="152"/>
      <c r="K352" s="152">
        <f>K351</f>
        <v>1022396</v>
      </c>
      <c r="L352" s="152"/>
      <c r="M352" s="156"/>
      <c r="N352" s="152"/>
      <c r="O352" s="152"/>
      <c r="P352" s="152"/>
      <c r="Q352" s="152"/>
      <c r="R352" s="152"/>
      <c r="S352" s="152"/>
      <c r="T352" s="152"/>
      <c r="U352" s="152"/>
      <c r="V352" s="156">
        <f t="shared" si="111"/>
        <v>1022396</v>
      </c>
    </row>
    <row r="353" spans="1:22" s="97" customFormat="1" ht="15">
      <c r="A353" s="145" t="s">
        <v>364</v>
      </c>
      <c r="B353" s="158"/>
      <c r="C353" s="145"/>
      <c r="D353" s="159" t="s">
        <v>65</v>
      </c>
      <c r="E353" s="147">
        <f aca="true" t="shared" si="115" ref="E353:U353">E354</f>
        <v>30052019.23</v>
      </c>
      <c r="F353" s="147">
        <f t="shared" si="115"/>
        <v>30052019.23</v>
      </c>
      <c r="G353" s="147">
        <f t="shared" si="115"/>
        <v>15291779</v>
      </c>
      <c r="H353" s="147">
        <f t="shared" si="115"/>
        <v>0</v>
      </c>
      <c r="I353" s="147">
        <f t="shared" si="115"/>
        <v>0</v>
      </c>
      <c r="J353" s="147">
        <f t="shared" si="115"/>
        <v>7325093</v>
      </c>
      <c r="K353" s="147">
        <f t="shared" si="115"/>
        <v>7435147.23</v>
      </c>
      <c r="L353" s="147">
        <f t="shared" si="115"/>
        <v>0</v>
      </c>
      <c r="M353" s="147">
        <f t="shared" si="115"/>
        <v>6926052.49</v>
      </c>
      <c r="N353" s="147">
        <f t="shared" si="115"/>
        <v>6926052.49</v>
      </c>
      <c r="O353" s="147">
        <f t="shared" si="115"/>
        <v>0</v>
      </c>
      <c r="P353" s="147">
        <f t="shared" si="115"/>
        <v>0</v>
      </c>
      <c r="Q353" s="147">
        <f t="shared" si="115"/>
        <v>0</v>
      </c>
      <c r="R353" s="147">
        <f t="shared" si="115"/>
        <v>0</v>
      </c>
      <c r="S353" s="147">
        <f t="shared" si="115"/>
        <v>0</v>
      </c>
      <c r="T353" s="147">
        <f t="shared" si="115"/>
        <v>6926052.49</v>
      </c>
      <c r="U353" s="147">
        <f t="shared" si="115"/>
        <v>6926052.49</v>
      </c>
      <c r="V353" s="147">
        <f aca="true" t="shared" si="116" ref="V353:V365">M353+E353</f>
        <v>36978071.72</v>
      </c>
    </row>
    <row r="354" spans="1:22" s="97" customFormat="1" ht="15">
      <c r="A354" s="145" t="s">
        <v>365</v>
      </c>
      <c r="B354" s="158"/>
      <c r="C354" s="145"/>
      <c r="D354" s="159" t="s">
        <v>65</v>
      </c>
      <c r="E354" s="147">
        <f aca="true" t="shared" si="117" ref="E354:J354">E355+E357+E367+E363+E361</f>
        <v>30052019.23</v>
      </c>
      <c r="F354" s="147">
        <f>F355+F357+F367+F363+F361</f>
        <v>30052019.23</v>
      </c>
      <c r="G354" s="147">
        <f t="shared" si="117"/>
        <v>15291779</v>
      </c>
      <c r="H354" s="147">
        <f t="shared" si="117"/>
        <v>0</v>
      </c>
      <c r="I354" s="147">
        <f t="shared" si="117"/>
        <v>0</v>
      </c>
      <c r="J354" s="147">
        <f t="shared" si="117"/>
        <v>7325093</v>
      </c>
      <c r="K354" s="147">
        <f>K355+K357+K367+K363+K361</f>
        <v>7435147.23</v>
      </c>
      <c r="L354" s="147">
        <f>L355+L357+L367+L363</f>
        <v>0</v>
      </c>
      <c r="M354" s="147">
        <f>M355+M357+M367+M363+M360+M365+M359</f>
        <v>6926052.49</v>
      </c>
      <c r="N354" s="147">
        <f>N355+N357+N367+N363+N360+N365+N359</f>
        <v>6926052.49</v>
      </c>
      <c r="O354" s="147">
        <f>O355+O357+O367+O363+O360+O365</f>
        <v>0</v>
      </c>
      <c r="P354" s="147">
        <f>P355+P357+P367+P363+P360+P365</f>
        <v>0</v>
      </c>
      <c r="Q354" s="147">
        <f>Q355+Q357+Q367+Q363+Q360+Q365</f>
        <v>0</v>
      </c>
      <c r="R354" s="147">
        <f>R355+R357+R367+R363+R360+R365</f>
        <v>0</v>
      </c>
      <c r="S354" s="147">
        <f>S355+S357+S367+S363+S360+S365</f>
        <v>0</v>
      </c>
      <c r="T354" s="147">
        <f>T355+T357+T367+T363+T360+T365+T359</f>
        <v>6926052.49</v>
      </c>
      <c r="U354" s="147">
        <f>U355+U357+U367+U363+U360+U365+U359</f>
        <v>6926052.49</v>
      </c>
      <c r="V354" s="147">
        <f>M354+E354</f>
        <v>36978071.72</v>
      </c>
    </row>
    <row r="355" spans="1:22" ht="45" customHeight="1">
      <c r="A355" s="44" t="s">
        <v>366</v>
      </c>
      <c r="B355" s="109" t="s">
        <v>367</v>
      </c>
      <c r="C355" s="109" t="s">
        <v>105</v>
      </c>
      <c r="D355" s="148" t="s">
        <v>360</v>
      </c>
      <c r="E355" s="147">
        <f>F355</f>
        <v>28739537</v>
      </c>
      <c r="F355" s="166">
        <f>SUM(G355:K355)</f>
        <v>28739537</v>
      </c>
      <c r="G355" s="166">
        <v>15291779</v>
      </c>
      <c r="H355" s="166"/>
      <c r="I355" s="166"/>
      <c r="J355" s="166">
        <f>47108+5300802+1977183</f>
        <v>7325093</v>
      </c>
      <c r="K355" s="166">
        <f>701281+5421384</f>
        <v>6122665</v>
      </c>
      <c r="L355" s="150"/>
      <c r="M355" s="147">
        <f>O355+T355</f>
        <v>0</v>
      </c>
      <c r="N355" s="149">
        <f>T355</f>
        <v>0</v>
      </c>
      <c r="O355" s="150"/>
      <c r="P355" s="150"/>
      <c r="Q355" s="150"/>
      <c r="R355" s="150"/>
      <c r="S355" s="150"/>
      <c r="T355" s="149"/>
      <c r="U355" s="149"/>
      <c r="V355" s="147">
        <f t="shared" si="116"/>
        <v>28739537</v>
      </c>
    </row>
    <row r="356" spans="1:22" s="154" customFormat="1" ht="60" customHeight="1">
      <c r="A356" s="44"/>
      <c r="B356" s="121"/>
      <c r="C356" s="47"/>
      <c r="D356" s="157" t="s">
        <v>40</v>
      </c>
      <c r="E356" s="156">
        <f>F356+L356</f>
        <v>12699369</v>
      </c>
      <c r="F356" s="152">
        <f>G356+H356+I356+J356+K356</f>
        <v>12699369</v>
      </c>
      <c r="G356" s="152"/>
      <c r="H356" s="152"/>
      <c r="I356" s="152"/>
      <c r="J356" s="152">
        <f>5300802+1977183</f>
        <v>7277985</v>
      </c>
      <c r="K356" s="152">
        <v>5421384</v>
      </c>
      <c r="L356" s="153"/>
      <c r="M356" s="156">
        <f>T356</f>
        <v>0</v>
      </c>
      <c r="N356" s="162"/>
      <c r="O356" s="153"/>
      <c r="P356" s="153"/>
      <c r="Q356" s="153"/>
      <c r="R356" s="153"/>
      <c r="S356" s="153"/>
      <c r="T356" s="162"/>
      <c r="U356" s="152"/>
      <c r="V356" s="147">
        <f t="shared" si="116"/>
        <v>12699369</v>
      </c>
    </row>
    <row r="357" spans="1:22" ht="15">
      <c r="A357" s="44" t="s">
        <v>77</v>
      </c>
      <c r="B357" s="109" t="s">
        <v>78</v>
      </c>
      <c r="C357" s="195">
        <v>1050</v>
      </c>
      <c r="D357" s="185" t="s">
        <v>545</v>
      </c>
      <c r="E357" s="147">
        <f>F357+L357</f>
        <v>576682.23</v>
      </c>
      <c r="F357" s="149">
        <f>SUM(G357:K357)</f>
        <v>576682.23</v>
      </c>
      <c r="G357" s="149">
        <f>G358</f>
        <v>0</v>
      </c>
      <c r="H357" s="149">
        <f>H358</f>
        <v>0</v>
      </c>
      <c r="I357" s="149">
        <f>I358</f>
        <v>0</v>
      </c>
      <c r="J357" s="149"/>
      <c r="K357" s="149">
        <f>600000-23317.77</f>
        <v>576682.23</v>
      </c>
      <c r="L357" s="150"/>
      <c r="M357" s="147"/>
      <c r="N357" s="150"/>
      <c r="O357" s="150"/>
      <c r="P357" s="150"/>
      <c r="Q357" s="150"/>
      <c r="R357" s="150"/>
      <c r="S357" s="150"/>
      <c r="T357" s="150"/>
      <c r="U357" s="150"/>
      <c r="V357" s="147">
        <f t="shared" si="116"/>
        <v>576682.23</v>
      </c>
    </row>
    <row r="358" spans="1:22" s="154" customFormat="1" ht="27" hidden="1">
      <c r="A358" s="44"/>
      <c r="B358" s="121"/>
      <c r="C358" s="47"/>
      <c r="D358" s="151" t="s">
        <v>85</v>
      </c>
      <c r="E358" s="156">
        <f>F358+L358</f>
        <v>0</v>
      </c>
      <c r="F358" s="152"/>
      <c r="G358" s="152"/>
      <c r="H358" s="152"/>
      <c r="I358" s="152"/>
      <c r="J358" s="152"/>
      <c r="K358" s="152"/>
      <c r="L358" s="153"/>
      <c r="M358" s="156"/>
      <c r="N358" s="162"/>
      <c r="O358" s="153"/>
      <c r="P358" s="153"/>
      <c r="Q358" s="153"/>
      <c r="R358" s="153"/>
      <c r="S358" s="153"/>
      <c r="T358" s="162"/>
      <c r="U358" s="152"/>
      <c r="V358" s="147">
        <f t="shared" si="116"/>
        <v>0</v>
      </c>
    </row>
    <row r="359" spans="1:22" s="154" customFormat="1" ht="27">
      <c r="A359" s="44" t="s">
        <v>214</v>
      </c>
      <c r="B359" s="109" t="s">
        <v>213</v>
      </c>
      <c r="C359" s="109" t="s">
        <v>758</v>
      </c>
      <c r="D359" s="185" t="s">
        <v>212</v>
      </c>
      <c r="E359" s="156"/>
      <c r="F359" s="152"/>
      <c r="G359" s="152"/>
      <c r="H359" s="152"/>
      <c r="I359" s="152"/>
      <c r="J359" s="152"/>
      <c r="K359" s="152"/>
      <c r="L359" s="153"/>
      <c r="M359" s="147">
        <f>O359+T359</f>
        <v>4759660.07</v>
      </c>
      <c r="N359" s="99">
        <f>T359</f>
        <v>4759660.07</v>
      </c>
      <c r="O359" s="150"/>
      <c r="P359" s="150"/>
      <c r="Q359" s="150"/>
      <c r="R359" s="150"/>
      <c r="S359" s="150"/>
      <c r="T359" s="99">
        <f>3446932.07+1282728+1000000-2285110+1315110</f>
        <v>4759660.07</v>
      </c>
      <c r="U359" s="149">
        <f>3446932.07+1282728+1000000-2285110+1315110</f>
        <v>4759660.07</v>
      </c>
      <c r="V359" s="147">
        <f t="shared" si="116"/>
        <v>4759660.07</v>
      </c>
    </row>
    <row r="360" spans="1:22" ht="27" hidden="1">
      <c r="A360" s="44" t="s">
        <v>316</v>
      </c>
      <c r="B360" s="101">
        <v>7370</v>
      </c>
      <c r="C360" s="109" t="s">
        <v>411</v>
      </c>
      <c r="D360" s="148" t="s">
        <v>15</v>
      </c>
      <c r="E360" s="147"/>
      <c r="F360" s="149"/>
      <c r="G360" s="149"/>
      <c r="H360" s="149"/>
      <c r="I360" s="149"/>
      <c r="J360" s="149"/>
      <c r="K360" s="149"/>
      <c r="L360" s="150"/>
      <c r="M360" s="147">
        <f>O360+T360</f>
        <v>0</v>
      </c>
      <c r="N360" s="99">
        <f>T360</f>
        <v>0</v>
      </c>
      <c r="O360" s="150"/>
      <c r="P360" s="150"/>
      <c r="Q360" s="150"/>
      <c r="R360" s="150"/>
      <c r="S360" s="150"/>
      <c r="T360" s="99"/>
      <c r="U360" s="99"/>
      <c r="V360" s="147">
        <f t="shared" si="116"/>
        <v>0</v>
      </c>
    </row>
    <row r="361" spans="1:22" s="214" customFormat="1" ht="34.5" customHeight="1">
      <c r="A361" s="44" t="s">
        <v>303</v>
      </c>
      <c r="B361" s="101">
        <v>7610</v>
      </c>
      <c r="C361" s="109" t="s">
        <v>305</v>
      </c>
      <c r="D361" s="148" t="s">
        <v>304</v>
      </c>
      <c r="E361" s="147">
        <f>E362</f>
        <v>160000</v>
      </c>
      <c r="F361" s="149">
        <f>F362</f>
        <v>160000</v>
      </c>
      <c r="G361" s="149"/>
      <c r="H361" s="149"/>
      <c r="I361" s="149"/>
      <c r="J361" s="149"/>
      <c r="K361" s="149">
        <f>K362</f>
        <v>160000</v>
      </c>
      <c r="L361" s="150"/>
      <c r="M361" s="147"/>
      <c r="N361" s="99"/>
      <c r="O361" s="150"/>
      <c r="P361" s="150"/>
      <c r="Q361" s="150"/>
      <c r="R361" s="150"/>
      <c r="S361" s="150"/>
      <c r="T361" s="99"/>
      <c r="U361" s="99"/>
      <c r="V361" s="147">
        <f t="shared" si="116"/>
        <v>160000</v>
      </c>
    </row>
    <row r="362" spans="1:22" s="214" customFormat="1" ht="48.75" customHeight="1">
      <c r="A362" s="44"/>
      <c r="B362" s="101"/>
      <c r="C362" s="109"/>
      <c r="D362" s="155" t="s">
        <v>89</v>
      </c>
      <c r="E362" s="147">
        <f>F362+L362</f>
        <v>160000</v>
      </c>
      <c r="F362" s="149">
        <f>G362+H362+I362+J362+K362</f>
        <v>160000</v>
      </c>
      <c r="G362" s="149"/>
      <c r="H362" s="149"/>
      <c r="I362" s="149"/>
      <c r="J362" s="149"/>
      <c r="K362" s="152">
        <v>160000</v>
      </c>
      <c r="L362" s="150"/>
      <c r="M362" s="147"/>
      <c r="N362" s="99"/>
      <c r="O362" s="150"/>
      <c r="P362" s="150"/>
      <c r="Q362" s="150"/>
      <c r="R362" s="150"/>
      <c r="S362" s="150"/>
      <c r="T362" s="99"/>
      <c r="U362" s="99"/>
      <c r="V362" s="147">
        <f t="shared" si="116"/>
        <v>160000</v>
      </c>
    </row>
    <row r="363" spans="1:22" ht="15">
      <c r="A363" s="44" t="s">
        <v>43</v>
      </c>
      <c r="B363" s="109" t="s">
        <v>44</v>
      </c>
      <c r="C363" s="109" t="s">
        <v>46</v>
      </c>
      <c r="D363" s="163" t="s">
        <v>45</v>
      </c>
      <c r="E363" s="147">
        <f aca="true" t="shared" si="118" ref="E363:K363">E364</f>
        <v>285800</v>
      </c>
      <c r="F363" s="149">
        <f t="shared" si="118"/>
        <v>285800</v>
      </c>
      <c r="G363" s="149">
        <f t="shared" si="118"/>
        <v>0</v>
      </c>
      <c r="H363" s="149">
        <f t="shared" si="118"/>
        <v>0</v>
      </c>
      <c r="I363" s="149">
        <f t="shared" si="118"/>
        <v>0</v>
      </c>
      <c r="J363" s="149">
        <f t="shared" si="118"/>
        <v>0</v>
      </c>
      <c r="K363" s="149">
        <f t="shared" si="118"/>
        <v>285800</v>
      </c>
      <c r="L363" s="150"/>
      <c r="M363" s="147">
        <f>O363+T363</f>
        <v>0</v>
      </c>
      <c r="N363" s="149"/>
      <c r="O363" s="150"/>
      <c r="P363" s="150"/>
      <c r="Q363" s="150"/>
      <c r="R363" s="150"/>
      <c r="S363" s="150"/>
      <c r="T363" s="149"/>
      <c r="U363" s="149"/>
      <c r="V363" s="147">
        <f t="shared" si="116"/>
        <v>285800</v>
      </c>
    </row>
    <row r="364" spans="1:22" s="154" customFormat="1" ht="45.75" customHeight="1">
      <c r="A364" s="44"/>
      <c r="B364" s="121"/>
      <c r="C364" s="47"/>
      <c r="D364" s="211" t="s">
        <v>678</v>
      </c>
      <c r="E364" s="156">
        <f>F364+L364</f>
        <v>285800</v>
      </c>
      <c r="F364" s="152">
        <f>SUM(G364:L364)</f>
        <v>285800</v>
      </c>
      <c r="G364" s="152"/>
      <c r="H364" s="152"/>
      <c r="I364" s="152"/>
      <c r="J364" s="152"/>
      <c r="K364" s="152">
        <v>285800</v>
      </c>
      <c r="L364" s="153"/>
      <c r="M364" s="156"/>
      <c r="N364" s="162"/>
      <c r="O364" s="153"/>
      <c r="P364" s="153"/>
      <c r="Q364" s="153"/>
      <c r="R364" s="153"/>
      <c r="S364" s="153"/>
      <c r="T364" s="162"/>
      <c r="U364" s="152"/>
      <c r="V364" s="147">
        <f t="shared" si="116"/>
        <v>285800</v>
      </c>
    </row>
    <row r="365" spans="1:22" s="154" customFormat="1" ht="27">
      <c r="A365" s="44" t="s">
        <v>666</v>
      </c>
      <c r="B365" s="109" t="s">
        <v>499</v>
      </c>
      <c r="C365" s="109" t="s">
        <v>411</v>
      </c>
      <c r="D365" s="46" t="s">
        <v>500</v>
      </c>
      <c r="E365" s="156"/>
      <c r="F365" s="152"/>
      <c r="G365" s="152"/>
      <c r="H365" s="152"/>
      <c r="I365" s="152"/>
      <c r="J365" s="152"/>
      <c r="K365" s="152"/>
      <c r="L365" s="153"/>
      <c r="M365" s="147">
        <f>O365+T365</f>
        <v>2166392.42</v>
      </c>
      <c r="N365" s="99">
        <f>T365</f>
        <v>2166392.42</v>
      </c>
      <c r="O365" s="150"/>
      <c r="P365" s="150"/>
      <c r="Q365" s="150"/>
      <c r="R365" s="150"/>
      <c r="S365" s="150"/>
      <c r="T365" s="99">
        <f>4071392.42-1905000</f>
        <v>2166392.42</v>
      </c>
      <c r="U365" s="149">
        <f>4071392.42-1905000</f>
        <v>2166392.42</v>
      </c>
      <c r="V365" s="147">
        <f t="shared" si="116"/>
        <v>2166392.42</v>
      </c>
    </row>
    <row r="366" spans="1:22" ht="15" hidden="1">
      <c r="A366" s="44" t="s">
        <v>539</v>
      </c>
      <c r="B366" s="101"/>
      <c r="C366" s="109"/>
      <c r="D366" s="118" t="s">
        <v>540</v>
      </c>
      <c r="E366" s="147">
        <f>E367</f>
        <v>290000</v>
      </c>
      <c r="F366" s="149">
        <f>F367</f>
        <v>290000</v>
      </c>
      <c r="G366" s="149"/>
      <c r="H366" s="149"/>
      <c r="I366" s="149"/>
      <c r="J366" s="149"/>
      <c r="K366" s="149">
        <f>K367</f>
        <v>290000</v>
      </c>
      <c r="L366" s="149"/>
      <c r="M366" s="169"/>
      <c r="N366" s="99"/>
      <c r="O366" s="149"/>
      <c r="P366" s="149"/>
      <c r="Q366" s="149"/>
      <c r="R366" s="149"/>
      <c r="S366" s="149"/>
      <c r="T366" s="99"/>
      <c r="U366" s="149"/>
      <c r="V366" s="147">
        <f>V367</f>
        <v>290000</v>
      </c>
    </row>
    <row r="367" spans="1:22" s="214" customFormat="1" ht="30" customHeight="1">
      <c r="A367" s="44" t="s">
        <v>41</v>
      </c>
      <c r="B367" s="109" t="s">
        <v>42</v>
      </c>
      <c r="C367" s="109" t="s">
        <v>411</v>
      </c>
      <c r="D367" s="148" t="s">
        <v>133</v>
      </c>
      <c r="E367" s="147">
        <f>E368</f>
        <v>290000</v>
      </c>
      <c r="F367" s="149">
        <f>F368</f>
        <v>290000</v>
      </c>
      <c r="G367" s="149">
        <f aca="true" t="shared" si="119" ref="G367:L367">G368</f>
        <v>0</v>
      </c>
      <c r="H367" s="149">
        <f t="shared" si="119"/>
        <v>0</v>
      </c>
      <c r="I367" s="149">
        <f t="shared" si="119"/>
        <v>0</v>
      </c>
      <c r="J367" s="149">
        <f t="shared" si="119"/>
        <v>0</v>
      </c>
      <c r="K367" s="149">
        <f t="shared" si="119"/>
        <v>290000</v>
      </c>
      <c r="L367" s="149">
        <f t="shared" si="119"/>
        <v>0</v>
      </c>
      <c r="M367" s="169">
        <f>T367+O367</f>
        <v>0</v>
      </c>
      <c r="N367" s="149"/>
      <c r="O367" s="149"/>
      <c r="P367" s="149"/>
      <c r="Q367" s="149"/>
      <c r="R367" s="149"/>
      <c r="S367" s="149"/>
      <c r="T367" s="149"/>
      <c r="U367" s="149"/>
      <c r="V367" s="147">
        <f aca="true" t="shared" si="120" ref="V367:V381">M367+E367</f>
        <v>290000</v>
      </c>
    </row>
    <row r="368" spans="1:22" s="154" customFormat="1" ht="48" customHeight="1">
      <c r="A368" s="44"/>
      <c r="B368" s="121"/>
      <c r="C368" s="47"/>
      <c r="D368" s="151" t="s">
        <v>90</v>
      </c>
      <c r="E368" s="156">
        <f>F368+L368</f>
        <v>290000</v>
      </c>
      <c r="F368" s="152">
        <f>SUM(G368:L368)</f>
        <v>290000</v>
      </c>
      <c r="G368" s="152"/>
      <c r="H368" s="152"/>
      <c r="I368" s="152"/>
      <c r="J368" s="152"/>
      <c r="K368" s="152">
        <v>290000</v>
      </c>
      <c r="L368" s="153"/>
      <c r="M368" s="156">
        <f>T368</f>
        <v>0</v>
      </c>
      <c r="N368" s="162"/>
      <c r="O368" s="153"/>
      <c r="P368" s="153"/>
      <c r="Q368" s="153"/>
      <c r="R368" s="153"/>
      <c r="S368" s="153"/>
      <c r="T368" s="162"/>
      <c r="U368" s="152"/>
      <c r="V368" s="147">
        <f t="shared" si="120"/>
        <v>290000</v>
      </c>
    </row>
    <row r="369" spans="1:22" s="154" customFormat="1" ht="30" customHeight="1">
      <c r="A369" s="145" t="s">
        <v>389</v>
      </c>
      <c r="B369" s="158"/>
      <c r="C369" s="158"/>
      <c r="D369" s="159" t="s">
        <v>391</v>
      </c>
      <c r="E369" s="147">
        <f aca="true" t="shared" si="121" ref="E369:T370">E370</f>
        <v>13000016</v>
      </c>
      <c r="F369" s="147">
        <f t="shared" si="121"/>
        <v>13000016</v>
      </c>
      <c r="G369" s="147">
        <f t="shared" si="121"/>
        <v>12426896</v>
      </c>
      <c r="H369" s="147">
        <f t="shared" si="121"/>
        <v>0</v>
      </c>
      <c r="I369" s="147">
        <f t="shared" si="121"/>
        <v>0</v>
      </c>
      <c r="J369" s="147">
        <f t="shared" si="121"/>
        <v>0</v>
      </c>
      <c r="K369" s="147">
        <f t="shared" si="121"/>
        <v>573120</v>
      </c>
      <c r="L369" s="147">
        <f t="shared" si="121"/>
        <v>0</v>
      </c>
      <c r="M369" s="147">
        <f t="shared" si="121"/>
        <v>654818</v>
      </c>
      <c r="N369" s="147">
        <f t="shared" si="121"/>
        <v>654818</v>
      </c>
      <c r="O369" s="147">
        <f t="shared" si="121"/>
        <v>0</v>
      </c>
      <c r="P369" s="147">
        <f t="shared" si="121"/>
        <v>0</v>
      </c>
      <c r="Q369" s="147">
        <f t="shared" si="121"/>
        <v>0</v>
      </c>
      <c r="R369" s="147">
        <f t="shared" si="121"/>
        <v>0</v>
      </c>
      <c r="S369" s="147">
        <f t="shared" si="121"/>
        <v>0</v>
      </c>
      <c r="T369" s="147">
        <f t="shared" si="121"/>
        <v>654818</v>
      </c>
      <c r="U369" s="147">
        <f>U370</f>
        <v>0</v>
      </c>
      <c r="V369" s="147">
        <f>M369+E369</f>
        <v>13654834</v>
      </c>
    </row>
    <row r="370" spans="1:22" s="154" customFormat="1" ht="36.75" customHeight="1">
      <c r="A370" s="145" t="s">
        <v>390</v>
      </c>
      <c r="B370" s="158"/>
      <c r="C370" s="158"/>
      <c r="D370" s="159" t="s">
        <v>391</v>
      </c>
      <c r="E370" s="147">
        <f>E371</f>
        <v>13000016</v>
      </c>
      <c r="F370" s="147">
        <f>F371</f>
        <v>13000016</v>
      </c>
      <c r="G370" s="147">
        <f t="shared" si="121"/>
        <v>12426896</v>
      </c>
      <c r="H370" s="147">
        <f t="shared" si="121"/>
        <v>0</v>
      </c>
      <c r="I370" s="147">
        <f t="shared" si="121"/>
        <v>0</v>
      </c>
      <c r="J370" s="147">
        <f t="shared" si="121"/>
        <v>0</v>
      </c>
      <c r="K370" s="147">
        <f t="shared" si="121"/>
        <v>573120</v>
      </c>
      <c r="L370" s="147">
        <f t="shared" si="121"/>
        <v>0</v>
      </c>
      <c r="M370" s="147">
        <f t="shared" si="121"/>
        <v>654818</v>
      </c>
      <c r="N370" s="147">
        <f t="shared" si="121"/>
        <v>654818</v>
      </c>
      <c r="O370" s="147">
        <f t="shared" si="121"/>
        <v>0</v>
      </c>
      <c r="P370" s="147">
        <f t="shared" si="121"/>
        <v>0</v>
      </c>
      <c r="Q370" s="147">
        <f t="shared" si="121"/>
        <v>0</v>
      </c>
      <c r="R370" s="147">
        <f t="shared" si="121"/>
        <v>0</v>
      </c>
      <c r="S370" s="147">
        <f t="shared" si="121"/>
        <v>0</v>
      </c>
      <c r="T370" s="147">
        <f t="shared" si="121"/>
        <v>654818</v>
      </c>
      <c r="U370" s="147">
        <f>U371</f>
        <v>0</v>
      </c>
      <c r="V370" s="147">
        <f>V371</f>
        <v>13654834</v>
      </c>
    </row>
    <row r="371" spans="1:22" s="154" customFormat="1" ht="48" customHeight="1">
      <c r="A371" s="44" t="s">
        <v>286</v>
      </c>
      <c r="B371" s="109" t="s">
        <v>367</v>
      </c>
      <c r="C371" s="109" t="s">
        <v>105</v>
      </c>
      <c r="D371" s="148" t="s">
        <v>360</v>
      </c>
      <c r="E371" s="147">
        <f>F371</f>
        <v>13000016</v>
      </c>
      <c r="F371" s="149">
        <f>SUM(G371:K371)</f>
        <v>13000016</v>
      </c>
      <c r="G371" s="149">
        <v>12426896</v>
      </c>
      <c r="H371" s="149"/>
      <c r="I371" s="149"/>
      <c r="J371" s="149"/>
      <c r="K371" s="149">
        <v>573120</v>
      </c>
      <c r="L371" s="149"/>
      <c r="M371" s="147">
        <f>O371+T371</f>
        <v>654818</v>
      </c>
      <c r="N371" s="149">
        <f>T371</f>
        <v>654818</v>
      </c>
      <c r="O371" s="149"/>
      <c r="P371" s="149"/>
      <c r="Q371" s="149"/>
      <c r="R371" s="149"/>
      <c r="S371" s="149"/>
      <c r="T371" s="149">
        <f>852434-197616</f>
        <v>654818</v>
      </c>
      <c r="U371" s="149"/>
      <c r="V371" s="147">
        <f>M371+E371</f>
        <v>13654834</v>
      </c>
    </row>
    <row r="372" spans="1:22" s="97" customFormat="1" ht="15">
      <c r="A372" s="145" t="s">
        <v>361</v>
      </c>
      <c r="B372" s="158"/>
      <c r="C372" s="158"/>
      <c r="D372" s="159" t="s">
        <v>67</v>
      </c>
      <c r="E372" s="147">
        <f aca="true" t="shared" si="122" ref="E372:U372">E373</f>
        <v>117525910.31</v>
      </c>
      <c r="F372" s="147">
        <f t="shared" si="122"/>
        <v>105911226</v>
      </c>
      <c r="G372" s="147">
        <f t="shared" si="122"/>
        <v>14424384</v>
      </c>
      <c r="H372" s="147">
        <f t="shared" si="122"/>
        <v>0</v>
      </c>
      <c r="I372" s="147">
        <f t="shared" si="122"/>
        <v>0</v>
      </c>
      <c r="J372" s="147">
        <f t="shared" si="122"/>
        <v>0</v>
      </c>
      <c r="K372" s="147">
        <f t="shared" si="122"/>
        <v>965442</v>
      </c>
      <c r="L372" s="147">
        <f t="shared" si="122"/>
        <v>0</v>
      </c>
      <c r="M372" s="147">
        <f t="shared" si="122"/>
        <v>1050000</v>
      </c>
      <c r="N372" s="147">
        <f t="shared" si="122"/>
        <v>1050000</v>
      </c>
      <c r="O372" s="147">
        <f t="shared" si="122"/>
        <v>0</v>
      </c>
      <c r="P372" s="147">
        <f t="shared" si="122"/>
        <v>0</v>
      </c>
      <c r="Q372" s="147">
        <f t="shared" si="122"/>
        <v>0</v>
      </c>
      <c r="R372" s="147">
        <f t="shared" si="122"/>
        <v>0</v>
      </c>
      <c r="S372" s="147">
        <f t="shared" si="122"/>
        <v>0</v>
      </c>
      <c r="T372" s="147">
        <f t="shared" si="122"/>
        <v>1050000</v>
      </c>
      <c r="U372" s="147">
        <f t="shared" si="122"/>
        <v>1000000</v>
      </c>
      <c r="V372" s="147">
        <f t="shared" si="120"/>
        <v>118575910.31</v>
      </c>
    </row>
    <row r="373" spans="1:22" s="97" customFormat="1" ht="15">
      <c r="A373" s="145" t="s">
        <v>362</v>
      </c>
      <c r="B373" s="158"/>
      <c r="C373" s="158"/>
      <c r="D373" s="159" t="s">
        <v>67</v>
      </c>
      <c r="E373" s="147">
        <f>E374+E377+E378+E379+E380+E376</f>
        <v>117525910.31</v>
      </c>
      <c r="F373" s="147">
        <f>F374+F377+F378+F379+F380+F376</f>
        <v>105911226</v>
      </c>
      <c r="G373" s="147">
        <f>G374+G377+G378+G379</f>
        <v>14424384</v>
      </c>
      <c r="H373" s="147">
        <f>H374+H377+H378+H379</f>
        <v>0</v>
      </c>
      <c r="I373" s="147">
        <f>I374+I377+I378+I379</f>
        <v>0</v>
      </c>
      <c r="J373" s="147">
        <f>J374+J377+J378+J379</f>
        <v>0</v>
      </c>
      <c r="K373" s="147">
        <f>K374+K377+K378+K379+K380+K376</f>
        <v>965442</v>
      </c>
      <c r="L373" s="147">
        <f>L374+L377+L378+L379</f>
        <v>0</v>
      </c>
      <c r="M373" s="147">
        <f>M374+M377+M378+M379+M376+M380</f>
        <v>1050000</v>
      </c>
      <c r="N373" s="147">
        <f>N374+N377+N378+N379+N376+N380</f>
        <v>1050000</v>
      </c>
      <c r="O373" s="147">
        <f>O374+O377+O378+O379+O376</f>
        <v>0</v>
      </c>
      <c r="P373" s="147">
        <f>P374+P377+P378+P379+P376</f>
        <v>0</v>
      </c>
      <c r="Q373" s="147">
        <f>Q374+Q377+Q378+Q379+Q376</f>
        <v>0</v>
      </c>
      <c r="R373" s="147">
        <f>R374+R377+R378+R379+R376</f>
        <v>0</v>
      </c>
      <c r="S373" s="147">
        <f>S374+S377+S378+S379+S376</f>
        <v>0</v>
      </c>
      <c r="T373" s="147">
        <f>T374+T377+T378+T379+T376+T380</f>
        <v>1050000</v>
      </c>
      <c r="U373" s="147">
        <f>U374+U377+U378+U379+U376+U380</f>
        <v>1000000</v>
      </c>
      <c r="V373" s="147">
        <f t="shared" si="120"/>
        <v>118575910.31</v>
      </c>
    </row>
    <row r="374" spans="1:22" ht="48" customHeight="1">
      <c r="A374" s="44" t="s">
        <v>363</v>
      </c>
      <c r="B374" s="109" t="s">
        <v>367</v>
      </c>
      <c r="C374" s="109" t="s">
        <v>105</v>
      </c>
      <c r="D374" s="148" t="s">
        <v>360</v>
      </c>
      <c r="E374" s="147">
        <f>F374</f>
        <v>15353306</v>
      </c>
      <c r="F374" s="149">
        <f>SUM(G374:L374)</f>
        <v>15353306</v>
      </c>
      <c r="G374" s="149">
        <v>14424384</v>
      </c>
      <c r="H374" s="149"/>
      <c r="I374" s="149"/>
      <c r="J374" s="149"/>
      <c r="K374" s="149">
        <v>928922</v>
      </c>
      <c r="L374" s="150"/>
      <c r="M374" s="147">
        <f>O374+T374</f>
        <v>50000</v>
      </c>
      <c r="N374" s="149">
        <f>T374</f>
        <v>50000</v>
      </c>
      <c r="O374" s="150"/>
      <c r="P374" s="150"/>
      <c r="Q374" s="150"/>
      <c r="R374" s="150"/>
      <c r="S374" s="150"/>
      <c r="T374" s="149">
        <v>50000</v>
      </c>
      <c r="U374" s="149"/>
      <c r="V374" s="147">
        <f t="shared" si="120"/>
        <v>15403306</v>
      </c>
    </row>
    <row r="375" spans="1:22" s="154" customFormat="1" ht="33" customHeight="1">
      <c r="A375" s="47"/>
      <c r="B375" s="48"/>
      <c r="C375" s="48"/>
      <c r="D375" s="151" t="s">
        <v>268</v>
      </c>
      <c r="E375" s="156">
        <f>F375</f>
        <v>318119</v>
      </c>
      <c r="F375" s="152">
        <f>SUM(G375:L375)</f>
        <v>318119</v>
      </c>
      <c r="G375" s="152"/>
      <c r="H375" s="152"/>
      <c r="I375" s="152"/>
      <c r="J375" s="152"/>
      <c r="K375" s="152">
        <v>318119</v>
      </c>
      <c r="L375" s="153"/>
      <c r="M375" s="156"/>
      <c r="N375" s="152"/>
      <c r="O375" s="153"/>
      <c r="P375" s="153"/>
      <c r="Q375" s="153"/>
      <c r="R375" s="153"/>
      <c r="S375" s="153"/>
      <c r="T375" s="152"/>
      <c r="U375" s="152"/>
      <c r="V375" s="156">
        <f t="shared" si="120"/>
        <v>318119</v>
      </c>
    </row>
    <row r="376" spans="1:22" ht="30" customHeight="1">
      <c r="A376" s="44" t="s">
        <v>568</v>
      </c>
      <c r="B376" s="109" t="s">
        <v>42</v>
      </c>
      <c r="C376" s="109" t="s">
        <v>411</v>
      </c>
      <c r="D376" s="148" t="s">
        <v>569</v>
      </c>
      <c r="E376" s="147">
        <f>F376</f>
        <v>10815</v>
      </c>
      <c r="F376" s="149">
        <f>SUM(G376:L376)</f>
        <v>10815</v>
      </c>
      <c r="G376" s="149"/>
      <c r="H376" s="149"/>
      <c r="I376" s="149"/>
      <c r="J376" s="149"/>
      <c r="K376" s="149">
        <v>10815</v>
      </c>
      <c r="L376" s="150"/>
      <c r="M376" s="147">
        <f>O376+T376</f>
        <v>0</v>
      </c>
      <c r="N376" s="149"/>
      <c r="O376" s="150"/>
      <c r="P376" s="150"/>
      <c r="Q376" s="150"/>
      <c r="R376" s="150"/>
      <c r="S376" s="150"/>
      <c r="T376" s="149"/>
      <c r="U376" s="149"/>
      <c r="V376" s="147">
        <f t="shared" si="120"/>
        <v>10815</v>
      </c>
    </row>
    <row r="377" spans="1:22" ht="15">
      <c r="A377" s="44" t="s">
        <v>612</v>
      </c>
      <c r="B377" s="109" t="s">
        <v>68</v>
      </c>
      <c r="C377" s="109" t="s">
        <v>402</v>
      </c>
      <c r="D377" s="148" t="s">
        <v>321</v>
      </c>
      <c r="E377" s="147">
        <f>F377</f>
        <v>25705</v>
      </c>
      <c r="F377" s="149">
        <f>SUM(G377:K377)</f>
        <v>25705</v>
      </c>
      <c r="G377" s="149"/>
      <c r="H377" s="149"/>
      <c r="I377" s="149"/>
      <c r="J377" s="149"/>
      <c r="K377" s="149">
        <v>25705</v>
      </c>
      <c r="L377" s="150"/>
      <c r="M377" s="147"/>
      <c r="N377" s="150"/>
      <c r="O377" s="150"/>
      <c r="P377" s="150"/>
      <c r="Q377" s="150"/>
      <c r="R377" s="150"/>
      <c r="S377" s="150"/>
      <c r="T377" s="150"/>
      <c r="U377" s="150"/>
      <c r="V377" s="147">
        <f t="shared" si="120"/>
        <v>25705</v>
      </c>
    </row>
    <row r="378" spans="1:22" ht="15.75">
      <c r="A378" s="44" t="s">
        <v>614</v>
      </c>
      <c r="B378" s="109" t="s">
        <v>615</v>
      </c>
      <c r="C378" s="109" t="s">
        <v>889</v>
      </c>
      <c r="D378" s="148" t="s">
        <v>804</v>
      </c>
      <c r="E378" s="147">
        <f>20517000-538745-10000000-4900000-4705000-75000+4000000+3750000+353897+1500000-2330000-7572152+14256794.31-1315110-187000-1000000-70000-70000</f>
        <v>11614684.31</v>
      </c>
      <c r="F378" s="149"/>
      <c r="G378" s="150"/>
      <c r="H378" s="150"/>
      <c r="I378" s="150"/>
      <c r="J378" s="150"/>
      <c r="K378" s="150"/>
      <c r="L378" s="150"/>
      <c r="M378" s="156"/>
      <c r="N378" s="150"/>
      <c r="O378" s="150"/>
      <c r="P378" s="150"/>
      <c r="Q378" s="150"/>
      <c r="R378" s="150"/>
      <c r="S378" s="150"/>
      <c r="T378" s="150"/>
      <c r="U378" s="150"/>
      <c r="V378" s="147">
        <f t="shared" si="120"/>
        <v>11614684.31</v>
      </c>
    </row>
    <row r="379" spans="1:22" ht="15.75">
      <c r="A379" s="44" t="s">
        <v>613</v>
      </c>
      <c r="B379" s="109" t="s">
        <v>400</v>
      </c>
      <c r="C379" s="109" t="s">
        <v>106</v>
      </c>
      <c r="D379" s="168" t="s">
        <v>919</v>
      </c>
      <c r="E379" s="147">
        <f>F379</f>
        <v>90521400</v>
      </c>
      <c r="F379" s="149">
        <v>90521400</v>
      </c>
      <c r="G379" s="150"/>
      <c r="H379" s="150"/>
      <c r="I379" s="150"/>
      <c r="J379" s="150"/>
      <c r="K379" s="149"/>
      <c r="L379" s="150"/>
      <c r="M379" s="156"/>
      <c r="N379" s="150"/>
      <c r="O379" s="150"/>
      <c r="P379" s="150"/>
      <c r="Q379" s="150"/>
      <c r="R379" s="150"/>
      <c r="S379" s="150"/>
      <c r="T379" s="150"/>
      <c r="U379" s="150"/>
      <c r="V379" s="147">
        <f t="shared" si="120"/>
        <v>90521400</v>
      </c>
    </row>
    <row r="380" spans="1:22" ht="45" customHeight="1">
      <c r="A380" s="44" t="s">
        <v>282</v>
      </c>
      <c r="B380" s="109" t="s">
        <v>567</v>
      </c>
      <c r="C380" s="109" t="s">
        <v>106</v>
      </c>
      <c r="D380" s="168" t="s">
        <v>599</v>
      </c>
      <c r="E380" s="147">
        <f>F380</f>
        <v>0</v>
      </c>
      <c r="F380" s="149">
        <f>SUM(G380:K380)</f>
        <v>0</v>
      </c>
      <c r="G380" s="150"/>
      <c r="H380" s="150"/>
      <c r="I380" s="150"/>
      <c r="J380" s="150"/>
      <c r="K380" s="149"/>
      <c r="L380" s="150"/>
      <c r="M380" s="147">
        <f>O380+T380</f>
        <v>1000000</v>
      </c>
      <c r="N380" s="149">
        <f>T380</f>
        <v>1000000</v>
      </c>
      <c r="O380" s="150"/>
      <c r="P380" s="150"/>
      <c r="Q380" s="150"/>
      <c r="R380" s="150"/>
      <c r="S380" s="150"/>
      <c r="T380" s="149">
        <f>300000+700000</f>
        <v>1000000</v>
      </c>
      <c r="U380" s="149">
        <f>T380</f>
        <v>1000000</v>
      </c>
      <c r="V380" s="147">
        <f t="shared" si="120"/>
        <v>1000000</v>
      </c>
    </row>
    <row r="381" spans="1:22" ht="41.25" hidden="1">
      <c r="A381" s="44"/>
      <c r="B381" s="109"/>
      <c r="C381" s="109"/>
      <c r="D381" s="151" t="s">
        <v>717</v>
      </c>
      <c r="E381" s="147">
        <f>F381</f>
        <v>0</v>
      </c>
      <c r="F381" s="149"/>
      <c r="G381" s="150"/>
      <c r="H381" s="150"/>
      <c r="I381" s="150"/>
      <c r="J381" s="150"/>
      <c r="K381" s="149"/>
      <c r="L381" s="150"/>
      <c r="M381" s="147"/>
      <c r="N381" s="149"/>
      <c r="O381" s="150"/>
      <c r="P381" s="150"/>
      <c r="Q381" s="150"/>
      <c r="R381" s="150"/>
      <c r="S381" s="150"/>
      <c r="T381" s="149"/>
      <c r="U381" s="149"/>
      <c r="V381" s="147">
        <f t="shared" si="120"/>
        <v>0</v>
      </c>
    </row>
    <row r="382" spans="1:23" s="96" customFormat="1" ht="15">
      <c r="A382" s="145"/>
      <c r="B382" s="226"/>
      <c r="C382" s="197"/>
      <c r="D382" s="198" t="s">
        <v>169</v>
      </c>
      <c r="E382" s="199">
        <f aca="true" t="shared" si="123" ref="E382:L382">E313+E12+E17+E93+E143+E278+E240+E307+E282+E354+E373+E309+E338+E370+E237</f>
        <v>2227460839.65</v>
      </c>
      <c r="F382" s="199">
        <f t="shared" si="123"/>
        <v>2049183322.41</v>
      </c>
      <c r="G382" s="199">
        <f t="shared" si="123"/>
        <v>1152840919</v>
      </c>
      <c r="H382" s="199">
        <f t="shared" si="123"/>
        <v>189367</v>
      </c>
      <c r="I382" s="199">
        <f t="shared" si="123"/>
        <v>47498613.64</v>
      </c>
      <c r="J382" s="199">
        <f t="shared" si="123"/>
        <v>112767290</v>
      </c>
      <c r="K382" s="199">
        <f t="shared" si="123"/>
        <v>645365732.7700001</v>
      </c>
      <c r="L382" s="199">
        <f t="shared" si="123"/>
        <v>166662832.93</v>
      </c>
      <c r="M382" s="199">
        <f>M313+M12+M17+M93+M143+M278+M240+M307+M282+M354+M373+M309+M338+M370+M236</f>
        <v>662550321.45</v>
      </c>
      <c r="N382" s="199">
        <f>N313+N12+N17+N93+N143+N278+N240+N307+N282+N354+N373+N309+N338+N370+N237</f>
        <v>569815212.55</v>
      </c>
      <c r="O382" s="199">
        <f>O313+O12+O17+O93+O143+O278+O240+O307+O282+O354+O373+O309+O338+O370</f>
        <v>84948979.24000001</v>
      </c>
      <c r="P382" s="199">
        <f>P313+P12+P17+P93+P143+P278+P240+P307+P282+P354+P373+P309+P338+P370</f>
        <v>26841778</v>
      </c>
      <c r="Q382" s="199">
        <f>Q313+Q12+Q17+Q93+Q143+Q278+Q240+Q307+Q282+Q354+Q373+Q309+Q338+Q370</f>
        <v>41500</v>
      </c>
      <c r="R382" s="199">
        <f>R313+R12+R17+R93+R143+R278+R240+R307+R282+R354+R373+R309+R338+R370</f>
        <v>30528441</v>
      </c>
      <c r="S382" s="199">
        <f>S313+S12+S17+S93+S143+S278+S240+S307+S282+S354+S373+S309+S338+S370</f>
        <v>7110665</v>
      </c>
      <c r="T382" s="199">
        <f>T313+T12+T17+T93+T143+T278+T240+T307+T282+T354+T373+T309+T338+T370+T237</f>
        <v>577601342.21</v>
      </c>
      <c r="U382" s="199">
        <f>U313+U12+U17+U93+U143+U278+U240+U307+U282+U354+U373+U309+U338+U370+U237</f>
        <v>454606641</v>
      </c>
      <c r="V382" s="147">
        <f>M382+E382</f>
        <v>2890011161.1000004</v>
      </c>
      <c r="W382" s="444">
        <f>T380-U380</f>
        <v>0</v>
      </c>
    </row>
    <row r="383" spans="1:22" s="335" customFormat="1" ht="15">
      <c r="A383" s="330"/>
      <c r="B383" s="331"/>
      <c r="C383" s="332"/>
      <c r="D383" s="333"/>
      <c r="E383" s="233"/>
      <c r="F383" s="334">
        <f aca="true" t="shared" si="124" ref="F383:V383">F13+F18+F94+F144+F238+F241+F279+F283+F308+F339+F355+F371+F374-F356</f>
        <v>230276951</v>
      </c>
      <c r="G383" s="334">
        <f t="shared" si="124"/>
        <v>219432105</v>
      </c>
      <c r="H383" s="334">
        <f t="shared" si="124"/>
        <v>0</v>
      </c>
      <c r="I383" s="334">
        <f t="shared" si="124"/>
        <v>0</v>
      </c>
      <c r="J383" s="334">
        <f t="shared" si="124"/>
        <v>47108</v>
      </c>
      <c r="K383" s="334">
        <f t="shared" si="124"/>
        <v>10797738</v>
      </c>
      <c r="L383" s="334">
        <f t="shared" si="124"/>
        <v>0</v>
      </c>
      <c r="M383" s="334">
        <f t="shared" si="124"/>
        <v>2219969.54</v>
      </c>
      <c r="N383" s="334">
        <f t="shared" si="124"/>
        <v>2159969.54</v>
      </c>
      <c r="O383" s="334">
        <f t="shared" si="124"/>
        <v>39600</v>
      </c>
      <c r="P383" s="334">
        <f t="shared" si="124"/>
        <v>0</v>
      </c>
      <c r="Q383" s="334">
        <f t="shared" si="124"/>
        <v>0</v>
      </c>
      <c r="R383" s="334">
        <f t="shared" si="124"/>
        <v>0</v>
      </c>
      <c r="S383" s="334">
        <f t="shared" si="124"/>
        <v>0</v>
      </c>
      <c r="T383" s="334">
        <f t="shared" si="124"/>
        <v>2180369.54</v>
      </c>
      <c r="U383" s="334">
        <f t="shared" si="124"/>
        <v>0</v>
      </c>
      <c r="V383" s="334">
        <f t="shared" si="124"/>
        <v>232496920.54</v>
      </c>
    </row>
    <row r="384" spans="1:22" s="335" customFormat="1" ht="15">
      <c r="A384" s="330"/>
      <c r="B384" s="331"/>
      <c r="C384" s="332"/>
      <c r="D384" s="333"/>
      <c r="E384" s="443"/>
      <c r="F384" s="336"/>
      <c r="G384" s="336"/>
      <c r="H384" s="336"/>
      <c r="I384" s="336"/>
      <c r="J384" s="336"/>
      <c r="K384" s="334"/>
      <c r="L384" s="334"/>
      <c r="M384" s="233"/>
      <c r="N384" s="334"/>
      <c r="O384" s="334"/>
      <c r="P384" s="334"/>
      <c r="Q384" s="334"/>
      <c r="R384" s="334"/>
      <c r="S384" s="334"/>
      <c r="T384" s="334"/>
      <c r="U384" s="334"/>
      <c r="V384" s="337"/>
    </row>
    <row r="385" spans="1:22" s="96" customFormat="1" ht="17.25">
      <c r="A385" s="232"/>
      <c r="B385" s="818" t="s">
        <v>283</v>
      </c>
      <c r="C385" s="818"/>
      <c r="D385" s="818"/>
      <c r="E385" s="233"/>
      <c r="F385" s="311"/>
      <c r="G385" s="311"/>
      <c r="H385" s="311"/>
      <c r="I385" s="311"/>
      <c r="J385" s="311"/>
      <c r="K385" s="233"/>
      <c r="L385" s="233"/>
      <c r="M385" s="233"/>
      <c r="N385" s="233"/>
      <c r="O385" s="233"/>
      <c r="P385" s="233"/>
      <c r="Q385" s="233"/>
      <c r="R385" s="233"/>
      <c r="S385" s="233"/>
      <c r="T385" s="233"/>
      <c r="U385" s="233"/>
      <c r="V385" s="53" t="s">
        <v>700</v>
      </c>
    </row>
    <row r="386" spans="1:21" s="94" customFormat="1" ht="36.75" customHeight="1">
      <c r="A386" s="200"/>
      <c r="B386" s="200"/>
      <c r="C386" s="814"/>
      <c r="D386" s="814"/>
      <c r="E386" s="201"/>
      <c r="F386" s="312"/>
      <c r="G386" s="313"/>
      <c r="H386" s="312"/>
      <c r="I386" s="312"/>
      <c r="J386" s="312"/>
      <c r="K386" s="53"/>
      <c r="L386" s="53"/>
      <c r="M386" s="201"/>
      <c r="N386" s="201"/>
      <c r="O386" s="53"/>
      <c r="P386" s="53"/>
      <c r="Q386" s="53"/>
      <c r="R386" s="53"/>
      <c r="S386" s="53"/>
      <c r="T386" s="201"/>
      <c r="U386" s="53"/>
    </row>
    <row r="387" spans="5:22" ht="13.5" customHeight="1">
      <c r="E387" s="264"/>
      <c r="F387" s="41"/>
      <c r="G387" s="41"/>
      <c r="N387" s="272"/>
      <c r="P387" s="41"/>
      <c r="T387" s="272"/>
      <c r="U387" s="272"/>
      <c r="V387" s="264"/>
    </row>
    <row r="388" spans="4:21" ht="13.5" customHeight="1">
      <c r="D388" s="41"/>
      <c r="E388" s="264"/>
      <c r="N388" s="272"/>
      <c r="T388" s="272"/>
      <c r="U388" s="272"/>
    </row>
    <row r="389" spans="4:22" ht="12.75">
      <c r="D389" s="41"/>
      <c r="E389" s="264"/>
      <c r="M389" s="264"/>
      <c r="N389" s="272"/>
      <c r="T389" s="272"/>
      <c r="U389" s="272"/>
      <c r="V389" s="264"/>
    </row>
    <row r="390" ht="12.75">
      <c r="E390" s="41"/>
    </row>
    <row r="391" spans="5:21" ht="12.75">
      <c r="E391" s="264"/>
      <c r="N391" s="272"/>
      <c r="T391" s="41"/>
      <c r="U391" s="272"/>
    </row>
    <row r="392" spans="5:12" ht="21">
      <c r="E392" s="264"/>
      <c r="F392" s="202"/>
      <c r="G392" s="202"/>
      <c r="H392" s="202"/>
      <c r="I392" s="202"/>
      <c r="J392" s="202"/>
      <c r="K392" s="202"/>
      <c r="L392" s="202"/>
    </row>
    <row r="393" spans="1:22" s="205" customFormat="1" ht="12.75">
      <c r="A393" s="203"/>
      <c r="B393" s="203"/>
      <c r="C393" s="203"/>
      <c r="D393" s="203"/>
      <c r="E393" s="224"/>
      <c r="F393" s="203"/>
      <c r="G393" s="203"/>
      <c r="H393" s="203"/>
      <c r="I393" s="203"/>
      <c r="J393" s="203"/>
      <c r="K393" s="203"/>
      <c r="L393" s="203"/>
      <c r="M393" s="224"/>
      <c r="N393" s="203"/>
      <c r="O393" s="203"/>
      <c r="P393" s="203"/>
      <c r="Q393" s="203"/>
      <c r="R393" s="203"/>
      <c r="S393" s="203"/>
      <c r="T393" s="203"/>
      <c r="U393" s="203"/>
      <c r="V393" s="204"/>
    </row>
    <row r="394" ht="12.75">
      <c r="E394" s="264"/>
    </row>
    <row r="395" ht="12.75">
      <c r="E395" s="264"/>
    </row>
    <row r="396" ht="12.75">
      <c r="E396" s="264"/>
    </row>
    <row r="397" ht="12.75">
      <c r="E397" s="264"/>
    </row>
    <row r="399" spans="5:7" ht="12.75">
      <c r="E399" s="264"/>
      <c r="G399" s="95"/>
    </row>
  </sheetData>
  <sheetProtection/>
  <mergeCells count="30">
    <mergeCell ref="V7:V10"/>
    <mergeCell ref="I9:I10"/>
    <mergeCell ref="O8:O10"/>
    <mergeCell ref="M8:M10"/>
    <mergeCell ref="P9:P10"/>
    <mergeCell ref="R9:R10"/>
    <mergeCell ref="Q9:Q10"/>
    <mergeCell ref="G8:K8"/>
    <mergeCell ref="U8:U9"/>
    <mergeCell ref="N8:N10"/>
    <mergeCell ref="U1:V2"/>
    <mergeCell ref="T8:T10"/>
    <mergeCell ref="S9:S10"/>
    <mergeCell ref="M7:U7"/>
    <mergeCell ref="P8:S8"/>
    <mergeCell ref="A3:V3"/>
    <mergeCell ref="L8:L10"/>
    <mergeCell ref="J9:J10"/>
    <mergeCell ref="A7:A10"/>
    <mergeCell ref="B7:B10"/>
    <mergeCell ref="C386:D386"/>
    <mergeCell ref="F8:F10"/>
    <mergeCell ref="C7:C10"/>
    <mergeCell ref="E7:L7"/>
    <mergeCell ref="K9:K10"/>
    <mergeCell ref="B385:D385"/>
    <mergeCell ref="D7:D10"/>
    <mergeCell ref="G9:G10"/>
    <mergeCell ref="H9:H10"/>
    <mergeCell ref="E8:E10"/>
  </mergeCells>
  <printOptions horizontalCentered="1"/>
  <pageMargins left="0.35433070866141736" right="0.2755905511811024" top="0.38" bottom="0.32" header="0.2362204724409449" footer="0.31496062992125984"/>
  <pageSetup fitToHeight="12" fitToWidth="1" horizontalDpi="600" verticalDpi="600" orientation="landscape" paperSize="9" scale="37" r:id="rId1"/>
  <headerFooter alignWithMargins="0">
    <oddFooter>&amp;R&amp;P</oddFooter>
  </headerFooter>
  <colBreaks count="2" manualBreakCount="2">
    <brk id="9" max="65535" man="1"/>
    <brk id="2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U50"/>
  <sheetViews>
    <sheetView showGridLines="0" showZeros="0" view="pageBreakPreview" zoomScale="85" zoomScaleNormal="80" zoomScaleSheetLayoutView="85" zoomScalePageLayoutView="0" workbookViewId="0" topLeftCell="W1">
      <selection activeCell="AB18" sqref="AB18"/>
    </sheetView>
  </sheetViews>
  <sheetFormatPr defaultColWidth="9.16015625" defaultRowHeight="12.75"/>
  <cols>
    <col min="1" max="1" width="0.328125" style="16" hidden="1" customWidth="1"/>
    <col min="2" max="2" width="4.33203125" style="16" hidden="1" customWidth="1"/>
    <col min="3" max="3" width="1.171875" style="16" hidden="1" customWidth="1"/>
    <col min="4" max="4" width="19" style="16" customWidth="1"/>
    <col min="5" max="5" width="29.33203125" style="16" customWidth="1"/>
    <col min="6" max="6" width="21.16015625" style="16" customWidth="1"/>
    <col min="7" max="7" width="37.66015625" style="55" hidden="1" customWidth="1"/>
    <col min="8" max="8" width="30.16015625" style="55" hidden="1" customWidth="1"/>
    <col min="9" max="9" width="33.16015625" style="55" hidden="1" customWidth="1"/>
    <col min="10" max="10" width="37.66015625" style="55" hidden="1" customWidth="1"/>
    <col min="11" max="11" width="20" style="55" customWidth="1"/>
    <col min="12" max="12" width="18.83203125" style="55" customWidth="1"/>
    <col min="13" max="15" width="20" style="55" customWidth="1"/>
    <col min="16" max="17" width="20" style="55" hidden="1" customWidth="1"/>
    <col min="18" max="18" width="36.5" style="55" hidden="1" customWidth="1"/>
    <col min="19" max="19" width="30.66015625" style="55" hidden="1" customWidth="1"/>
    <col min="20" max="20" width="44.5" style="55" hidden="1" customWidth="1"/>
    <col min="21" max="21" width="26.16015625" style="55" hidden="1" customWidth="1"/>
    <col min="22" max="22" width="20" style="55" hidden="1" customWidth="1"/>
    <col min="23" max="23" width="20" style="55" customWidth="1"/>
    <col min="24" max="24" width="21" style="55" customWidth="1"/>
    <col min="25" max="25" width="22.66015625" style="55" customWidth="1"/>
    <col min="26" max="26" width="22.83203125" style="55" customWidth="1"/>
    <col min="27" max="27" width="24.33203125" style="55" customWidth="1"/>
    <col min="28" max="28" width="22.5" style="16" customWidth="1"/>
    <col min="29" max="29" width="20.5" style="16" customWidth="1"/>
    <col min="30" max="30" width="22.5" style="16" customWidth="1"/>
    <col min="31" max="31" width="20.5" style="16" customWidth="1"/>
    <col min="32" max="32" width="26.33203125" style="16" customWidth="1"/>
    <col min="33" max="33" width="31.16015625" style="16" customWidth="1"/>
    <col min="34" max="34" width="23.33203125" style="16" customWidth="1"/>
    <col min="35" max="35" width="18.66015625" style="16" customWidth="1"/>
    <col min="36" max="36" width="18.33203125" style="16" customWidth="1"/>
    <col min="37" max="37" width="21.33203125" style="16" customWidth="1"/>
    <col min="38" max="38" width="24.5" style="16" customWidth="1"/>
    <col min="39" max="39" width="21.33203125" style="16" customWidth="1"/>
    <col min="40" max="40" width="19.16015625" style="16" customWidth="1"/>
    <col min="41" max="41" width="19.33203125" style="16" customWidth="1"/>
    <col min="42" max="42" width="21.66015625" style="16" customWidth="1"/>
    <col min="43" max="43" width="19.33203125" style="16" customWidth="1"/>
    <col min="44" max="44" width="26.16015625" style="16" customWidth="1"/>
    <col min="45" max="45" width="37.33203125" style="16" customWidth="1"/>
    <col min="46" max="46" width="17.16015625" style="16" customWidth="1"/>
    <col min="47" max="47" width="20.16015625" style="16" customWidth="1"/>
    <col min="48" max="16384" width="9.16015625" style="16" customWidth="1"/>
  </cols>
  <sheetData>
    <row r="1" spans="1:33" ht="161.25" customHeight="1">
      <c r="A1" s="79"/>
      <c r="B1" s="79"/>
      <c r="C1" s="79"/>
      <c r="D1" s="79"/>
      <c r="E1" s="56"/>
      <c r="F1" s="79"/>
      <c r="G1" s="221"/>
      <c r="H1" s="221"/>
      <c r="I1" s="221"/>
      <c r="J1" s="221"/>
      <c r="K1" s="221"/>
      <c r="L1" s="221"/>
      <c r="M1" s="221"/>
      <c r="N1" s="221"/>
      <c r="O1" s="221"/>
      <c r="P1" s="221"/>
      <c r="Q1" s="221"/>
      <c r="R1" s="221"/>
      <c r="S1" s="221"/>
      <c r="T1" s="221"/>
      <c r="U1" s="221"/>
      <c r="V1" s="221"/>
      <c r="W1" s="221"/>
      <c r="X1" s="221"/>
      <c r="Y1" s="221"/>
      <c r="Z1" s="221"/>
      <c r="AB1" s="2"/>
      <c r="AD1" s="2"/>
      <c r="AF1" s="813" t="s">
        <v>931</v>
      </c>
      <c r="AG1" s="813"/>
    </row>
    <row r="2" spans="1:33" ht="20.25" customHeight="1">
      <c r="A2" s="57"/>
      <c r="B2" s="57"/>
      <c r="C2" s="57"/>
      <c r="D2" s="846" t="s">
        <v>160</v>
      </c>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row>
    <row r="3" spans="1:33" ht="20.25" customHeight="1">
      <c r="A3" s="57"/>
      <c r="B3" s="57"/>
      <c r="C3" s="57"/>
      <c r="D3" s="318"/>
      <c r="E3" s="318"/>
      <c r="F3" s="318"/>
      <c r="G3" s="318"/>
      <c r="H3" s="318"/>
      <c r="I3" s="318"/>
      <c r="J3" s="318"/>
      <c r="K3" s="318"/>
      <c r="L3" s="318"/>
      <c r="M3" s="307"/>
      <c r="N3" s="307"/>
      <c r="O3" s="307"/>
      <c r="P3" s="307"/>
      <c r="Q3" s="307"/>
      <c r="R3" s="307"/>
      <c r="S3" s="307"/>
      <c r="T3" s="307"/>
      <c r="U3" s="307"/>
      <c r="V3" s="307"/>
      <c r="W3" s="307"/>
      <c r="X3" s="307"/>
      <c r="Y3" s="307"/>
      <c r="Z3" s="307"/>
      <c r="AA3" s="307"/>
      <c r="AB3" s="307"/>
      <c r="AC3" s="307"/>
      <c r="AD3" s="307"/>
      <c r="AE3" s="307"/>
      <c r="AF3" s="307"/>
      <c r="AG3" s="307"/>
    </row>
    <row r="4" spans="1:33" ht="20.25" customHeight="1">
      <c r="A4" s="57"/>
      <c r="B4" s="57"/>
      <c r="C4" s="57"/>
      <c r="D4" s="321">
        <v>23201100000</v>
      </c>
      <c r="E4" s="318"/>
      <c r="F4" s="318"/>
      <c r="G4" s="318"/>
      <c r="H4" s="318"/>
      <c r="I4" s="318"/>
      <c r="J4" s="318"/>
      <c r="K4" s="318"/>
      <c r="L4" s="318"/>
      <c r="M4" s="307"/>
      <c r="N4" s="307"/>
      <c r="O4" s="307"/>
      <c r="P4" s="307"/>
      <c r="Q4" s="307"/>
      <c r="R4" s="307"/>
      <c r="S4" s="307"/>
      <c r="T4" s="307"/>
      <c r="U4" s="307"/>
      <c r="V4" s="307"/>
      <c r="W4" s="307"/>
      <c r="X4" s="307"/>
      <c r="Y4" s="307"/>
      <c r="Z4" s="307"/>
      <c r="AA4" s="307"/>
      <c r="AB4" s="307"/>
      <c r="AC4" s="307"/>
      <c r="AD4" s="307"/>
      <c r="AE4" s="307"/>
      <c r="AF4" s="307"/>
      <c r="AG4" s="307"/>
    </row>
    <row r="5" spans="1:33" ht="20.25" customHeight="1">
      <c r="A5" s="57"/>
      <c r="B5" s="57"/>
      <c r="C5" s="57"/>
      <c r="D5" s="320" t="s">
        <v>162</v>
      </c>
      <c r="E5" s="318"/>
      <c r="F5" s="318"/>
      <c r="G5" s="318"/>
      <c r="H5" s="318"/>
      <c r="I5" s="318"/>
      <c r="J5" s="318"/>
      <c r="K5" s="318"/>
      <c r="L5" s="318"/>
      <c r="M5" s="307"/>
      <c r="N5" s="307"/>
      <c r="O5" s="307"/>
      <c r="P5" s="307"/>
      <c r="Q5" s="307"/>
      <c r="R5" s="307"/>
      <c r="S5" s="307"/>
      <c r="T5" s="307"/>
      <c r="U5" s="307"/>
      <c r="V5" s="307"/>
      <c r="W5" s="307"/>
      <c r="X5" s="307"/>
      <c r="Y5" s="307"/>
      <c r="Z5" s="307"/>
      <c r="AA5" s="307"/>
      <c r="AB5" s="307"/>
      <c r="AC5" s="307"/>
      <c r="AD5" s="307"/>
      <c r="AE5" s="307"/>
      <c r="AF5" s="307"/>
      <c r="AG5" s="307"/>
    </row>
    <row r="6" spans="1:33" ht="18" customHeight="1">
      <c r="A6" s="57"/>
      <c r="B6" s="57"/>
      <c r="C6" s="57"/>
      <c r="D6" s="57"/>
      <c r="E6" s="79"/>
      <c r="F6" s="79"/>
      <c r="G6" s="222"/>
      <c r="H6" s="222"/>
      <c r="I6" s="222"/>
      <c r="J6" s="222"/>
      <c r="K6" s="222"/>
      <c r="L6" s="222"/>
      <c r="M6" s="222"/>
      <c r="N6" s="222"/>
      <c r="O6" s="222"/>
      <c r="P6" s="222"/>
      <c r="Q6" s="222"/>
      <c r="R6" s="222"/>
      <c r="S6" s="222"/>
      <c r="T6" s="222"/>
      <c r="U6" s="222"/>
      <c r="V6" s="222"/>
      <c r="W6" s="222"/>
      <c r="X6" s="222"/>
      <c r="Y6" s="58"/>
      <c r="Z6" s="58"/>
      <c r="AA6" s="58"/>
      <c r="AB6" s="59"/>
      <c r="AC6" s="59"/>
      <c r="AD6" s="59"/>
      <c r="AE6" s="59"/>
      <c r="AF6" s="79"/>
      <c r="AG6" s="60"/>
    </row>
    <row r="7" spans="1:33" s="54" customFormat="1" ht="34.5" customHeight="1">
      <c r="A7" s="61" t="s">
        <v>857</v>
      </c>
      <c r="B7" s="62" t="s">
        <v>858</v>
      </c>
      <c r="C7" s="63">
        <v>0</v>
      </c>
      <c r="D7" s="860" t="s">
        <v>859</v>
      </c>
      <c r="E7" s="860" t="s">
        <v>636</v>
      </c>
      <c r="F7" s="863" t="s">
        <v>637</v>
      </c>
      <c r="G7" s="863"/>
      <c r="H7" s="863"/>
      <c r="I7" s="863"/>
      <c r="J7" s="863"/>
      <c r="K7" s="863"/>
      <c r="L7" s="863"/>
      <c r="M7" s="863"/>
      <c r="N7" s="863"/>
      <c r="O7" s="863"/>
      <c r="P7" s="863"/>
      <c r="Q7" s="863"/>
      <c r="R7" s="863"/>
      <c r="S7" s="863"/>
      <c r="T7" s="863"/>
      <c r="U7" s="863"/>
      <c r="V7" s="863"/>
      <c r="W7" s="863"/>
      <c r="X7" s="863"/>
      <c r="Y7" s="863"/>
      <c r="Z7" s="863"/>
      <c r="AA7" s="840" t="s">
        <v>684</v>
      </c>
      <c r="AB7" s="841"/>
      <c r="AC7" s="841"/>
      <c r="AD7" s="841"/>
      <c r="AE7" s="841"/>
      <c r="AF7" s="842"/>
      <c r="AG7" s="837" t="s">
        <v>163</v>
      </c>
    </row>
    <row r="8" spans="1:33" s="54" customFormat="1" ht="15" customHeight="1">
      <c r="A8" s="61" t="s">
        <v>860</v>
      </c>
      <c r="B8" s="62" t="s">
        <v>858</v>
      </c>
      <c r="C8" s="63">
        <v>0</v>
      </c>
      <c r="D8" s="861"/>
      <c r="E8" s="861"/>
      <c r="F8" s="851" t="s">
        <v>638</v>
      </c>
      <c r="G8" s="840" t="s">
        <v>861</v>
      </c>
      <c r="H8" s="841"/>
      <c r="I8" s="841"/>
      <c r="J8" s="841"/>
      <c r="K8" s="841"/>
      <c r="L8" s="841"/>
      <c r="M8" s="841"/>
      <c r="N8" s="841"/>
      <c r="O8" s="841"/>
      <c r="P8" s="841"/>
      <c r="Q8" s="841"/>
      <c r="R8" s="841"/>
      <c r="S8" s="841"/>
      <c r="T8" s="841"/>
      <c r="U8" s="841"/>
      <c r="V8" s="841"/>
      <c r="W8" s="841"/>
      <c r="X8" s="841"/>
      <c r="Y8" s="842"/>
      <c r="Z8" s="837" t="s">
        <v>163</v>
      </c>
      <c r="AA8" s="850" t="s">
        <v>638</v>
      </c>
      <c r="AB8" s="854" t="s">
        <v>155</v>
      </c>
      <c r="AC8" s="855"/>
      <c r="AD8" s="855"/>
      <c r="AE8" s="855"/>
      <c r="AF8" s="856"/>
      <c r="AG8" s="838"/>
    </row>
    <row r="9" spans="1:33" s="54" customFormat="1" ht="18">
      <c r="A9" s="61" t="s">
        <v>862</v>
      </c>
      <c r="B9" s="62" t="s">
        <v>858</v>
      </c>
      <c r="C9" s="63">
        <v>0</v>
      </c>
      <c r="D9" s="861"/>
      <c r="E9" s="861"/>
      <c r="F9" s="852"/>
      <c r="G9" s="850" t="s">
        <v>639</v>
      </c>
      <c r="H9" s="850"/>
      <c r="I9" s="850"/>
      <c r="J9" s="850"/>
      <c r="K9" s="850"/>
      <c r="L9" s="850"/>
      <c r="M9" s="850"/>
      <c r="N9" s="850"/>
      <c r="O9" s="850"/>
      <c r="P9" s="850"/>
      <c r="Q9" s="850"/>
      <c r="R9" s="850"/>
      <c r="S9" s="850"/>
      <c r="T9" s="850"/>
      <c r="U9" s="850"/>
      <c r="V9" s="850"/>
      <c r="W9" s="850"/>
      <c r="X9" s="850"/>
      <c r="Y9" s="850"/>
      <c r="Z9" s="838"/>
      <c r="AA9" s="850"/>
      <c r="AB9" s="857"/>
      <c r="AC9" s="858"/>
      <c r="AD9" s="858"/>
      <c r="AE9" s="858"/>
      <c r="AF9" s="859"/>
      <c r="AG9" s="838"/>
    </row>
    <row r="10" spans="1:33" s="54" customFormat="1" ht="36">
      <c r="A10" s="61"/>
      <c r="B10" s="62"/>
      <c r="C10" s="63"/>
      <c r="D10" s="861"/>
      <c r="E10" s="861"/>
      <c r="F10" s="853"/>
      <c r="G10" s="843" t="s">
        <v>934</v>
      </c>
      <c r="H10" s="844"/>
      <c r="I10" s="844"/>
      <c r="J10" s="844"/>
      <c r="K10" s="844"/>
      <c r="L10" s="844"/>
      <c r="M10" s="844"/>
      <c r="N10" s="844"/>
      <c r="O10" s="844"/>
      <c r="P10" s="844"/>
      <c r="Q10" s="844"/>
      <c r="R10" s="844"/>
      <c r="S10" s="844"/>
      <c r="T10" s="844"/>
      <c r="U10" s="844"/>
      <c r="V10" s="844"/>
      <c r="W10" s="844"/>
      <c r="X10" s="845"/>
      <c r="Y10" s="64" t="s">
        <v>641</v>
      </c>
      <c r="Z10" s="838"/>
      <c r="AA10" s="850"/>
      <c r="AB10" s="445" t="s">
        <v>640</v>
      </c>
      <c r="AC10" s="843" t="s">
        <v>641</v>
      </c>
      <c r="AD10" s="844"/>
      <c r="AE10" s="844"/>
      <c r="AF10" s="845"/>
      <c r="AG10" s="838"/>
    </row>
    <row r="11" spans="1:33" s="54" customFormat="1" ht="236.25" customHeight="1">
      <c r="A11" s="61"/>
      <c r="B11" s="62"/>
      <c r="C11" s="63"/>
      <c r="D11" s="861"/>
      <c r="E11" s="861"/>
      <c r="F11" s="282" t="s">
        <v>206</v>
      </c>
      <c r="G11" s="285" t="s">
        <v>561</v>
      </c>
      <c r="H11" s="285" t="s">
        <v>562</v>
      </c>
      <c r="I11" s="285" t="s">
        <v>563</v>
      </c>
      <c r="J11" s="285" t="s">
        <v>564</v>
      </c>
      <c r="K11" s="285" t="s">
        <v>935</v>
      </c>
      <c r="L11" s="285" t="s">
        <v>933</v>
      </c>
      <c r="M11" s="285" t="s">
        <v>936</v>
      </c>
      <c r="N11" s="285" t="s">
        <v>940</v>
      </c>
      <c r="O11" s="285" t="s">
        <v>937</v>
      </c>
      <c r="P11" s="285" t="s">
        <v>936</v>
      </c>
      <c r="Q11" s="285" t="s">
        <v>560</v>
      </c>
      <c r="R11" s="285" t="s">
        <v>25</v>
      </c>
      <c r="S11" s="285" t="s">
        <v>26</v>
      </c>
      <c r="T11" s="285" t="s">
        <v>179</v>
      </c>
      <c r="U11" s="285" t="s">
        <v>27</v>
      </c>
      <c r="V11" s="285" t="s">
        <v>28</v>
      </c>
      <c r="W11" s="285" t="s">
        <v>938</v>
      </c>
      <c r="X11" s="64" t="s">
        <v>939</v>
      </c>
      <c r="Y11" s="64" t="s">
        <v>207</v>
      </c>
      <c r="Z11" s="839"/>
      <c r="AA11" s="64" t="s">
        <v>182</v>
      </c>
      <c r="AB11" s="285" t="s">
        <v>255</v>
      </c>
      <c r="AC11" s="285" t="s">
        <v>253</v>
      </c>
      <c r="AD11" s="285" t="s">
        <v>256</v>
      </c>
      <c r="AE11" s="285" t="s">
        <v>264</v>
      </c>
      <c r="AF11" s="285" t="s">
        <v>254</v>
      </c>
      <c r="AG11" s="839"/>
    </row>
    <row r="12" spans="1:33" s="54" customFormat="1" ht="36" customHeight="1">
      <c r="A12" s="61"/>
      <c r="B12" s="62"/>
      <c r="C12" s="63"/>
      <c r="D12" s="861"/>
      <c r="E12" s="861"/>
      <c r="F12" s="843" t="s">
        <v>167</v>
      </c>
      <c r="G12" s="844"/>
      <c r="H12" s="844"/>
      <c r="I12" s="844"/>
      <c r="J12" s="844"/>
      <c r="K12" s="844"/>
      <c r="L12" s="844"/>
      <c r="M12" s="844"/>
      <c r="N12" s="844"/>
      <c r="O12" s="844"/>
      <c r="P12" s="844"/>
      <c r="Q12" s="844"/>
      <c r="R12" s="844"/>
      <c r="S12" s="844"/>
      <c r="T12" s="844"/>
      <c r="U12" s="844"/>
      <c r="V12" s="844"/>
      <c r="W12" s="844"/>
      <c r="X12" s="845"/>
      <c r="Y12" s="282"/>
      <c r="Z12" s="319"/>
      <c r="AA12" s="843" t="s">
        <v>165</v>
      </c>
      <c r="AB12" s="844"/>
      <c r="AC12" s="844"/>
      <c r="AD12" s="844"/>
      <c r="AE12" s="844"/>
      <c r="AF12" s="845"/>
      <c r="AG12" s="319"/>
    </row>
    <row r="13" spans="1:33" s="54" customFormat="1" ht="18">
      <c r="A13" s="61"/>
      <c r="B13" s="62"/>
      <c r="C13" s="63"/>
      <c r="D13" s="862"/>
      <c r="E13" s="862"/>
      <c r="F13" s="64">
        <v>41040200</v>
      </c>
      <c r="G13" s="64"/>
      <c r="H13" s="64"/>
      <c r="I13" s="64"/>
      <c r="J13" s="64"/>
      <c r="K13" s="64">
        <v>41051000</v>
      </c>
      <c r="L13" s="64">
        <v>41051100</v>
      </c>
      <c r="M13" s="64">
        <v>41051200</v>
      </c>
      <c r="N13" s="64">
        <v>41051400</v>
      </c>
      <c r="O13" s="64">
        <v>41051500</v>
      </c>
      <c r="P13" s="64"/>
      <c r="Q13" s="64"/>
      <c r="R13" s="64"/>
      <c r="S13" s="64"/>
      <c r="T13" s="64"/>
      <c r="U13" s="64"/>
      <c r="V13" s="64"/>
      <c r="W13" s="64">
        <v>41055000</v>
      </c>
      <c r="X13" s="64">
        <v>41053900</v>
      </c>
      <c r="Y13" s="64">
        <v>41053900</v>
      </c>
      <c r="Z13" s="339"/>
      <c r="AA13" s="64">
        <v>9110</v>
      </c>
      <c r="AB13" s="64">
        <v>9800</v>
      </c>
      <c r="AC13" s="64">
        <v>9770</v>
      </c>
      <c r="AD13" s="64">
        <v>9800</v>
      </c>
      <c r="AE13" s="64">
        <v>9800</v>
      </c>
      <c r="AF13" s="64">
        <v>9770</v>
      </c>
      <c r="AG13" s="319"/>
    </row>
    <row r="14" spans="1:33" ht="22.5" customHeight="1">
      <c r="A14" s="65" t="s">
        <v>863</v>
      </c>
      <c r="B14" s="66" t="s">
        <v>858</v>
      </c>
      <c r="C14" s="67">
        <v>0</v>
      </c>
      <c r="D14" s="68"/>
      <c r="E14" s="69" t="s">
        <v>864</v>
      </c>
      <c r="F14" s="70"/>
      <c r="G14" s="70"/>
      <c r="H14" s="70"/>
      <c r="I14" s="70"/>
      <c r="J14" s="70"/>
      <c r="K14" s="70"/>
      <c r="L14" s="70"/>
      <c r="M14" s="70"/>
      <c r="N14" s="70"/>
      <c r="O14" s="70"/>
      <c r="P14" s="70"/>
      <c r="Q14" s="70"/>
      <c r="R14" s="70"/>
      <c r="S14" s="70"/>
      <c r="T14" s="70"/>
      <c r="U14" s="70"/>
      <c r="V14" s="70"/>
      <c r="W14" s="70"/>
      <c r="X14" s="70"/>
      <c r="Y14" s="70"/>
      <c r="Z14" s="70"/>
      <c r="AA14" s="70">
        <v>90521400</v>
      </c>
      <c r="AB14" s="71">
        <f>15000+75000+1220050</f>
        <v>1310050</v>
      </c>
      <c r="AC14" s="71"/>
      <c r="AD14" s="71">
        <v>1000000</v>
      </c>
      <c r="AE14" s="71">
        <v>1109950</v>
      </c>
      <c r="AF14" s="70"/>
      <c r="AG14" s="283">
        <f>Z14+AA14+AB14+AF14+AC14+AD14+AE14</f>
        <v>93941400</v>
      </c>
    </row>
    <row r="15" spans="1:33" ht="18">
      <c r="A15" s="65"/>
      <c r="B15" s="66"/>
      <c r="C15" s="67"/>
      <c r="D15" s="64">
        <v>23100000000</v>
      </c>
      <c r="E15" s="69" t="s">
        <v>865</v>
      </c>
      <c r="F15" s="70">
        <v>20849500</v>
      </c>
      <c r="G15" s="70"/>
      <c r="H15" s="70"/>
      <c r="I15" s="70"/>
      <c r="J15" s="70"/>
      <c r="K15" s="70">
        <f>3401040+479200</f>
        <v>3880240</v>
      </c>
      <c r="L15" s="70">
        <v>961760</v>
      </c>
      <c r="M15" s="70">
        <f>1097931+524460</f>
        <v>1622391</v>
      </c>
      <c r="N15" s="70">
        <v>5508153</v>
      </c>
      <c r="O15" s="70">
        <v>2173320</v>
      </c>
      <c r="P15" s="70"/>
      <c r="Q15" s="70"/>
      <c r="R15" s="70"/>
      <c r="S15" s="70"/>
      <c r="T15" s="70"/>
      <c r="U15" s="70"/>
      <c r="V15" s="70"/>
      <c r="W15" s="70">
        <f>9354857+980500</f>
        <v>10335357</v>
      </c>
      <c r="X15" s="70">
        <f>9003543+50000+767517+110500</f>
        <v>9931560</v>
      </c>
      <c r="Y15" s="70">
        <f>325000+3000000</f>
        <v>3325000</v>
      </c>
      <c r="Z15" s="70">
        <f>SUM(F15:Y15)</f>
        <v>58587281</v>
      </c>
      <c r="AA15" s="70"/>
      <c r="AB15" s="71"/>
      <c r="AC15" s="71">
        <v>200000</v>
      </c>
      <c r="AD15" s="71"/>
      <c r="AE15" s="71"/>
      <c r="AF15" s="70">
        <v>8000000</v>
      </c>
      <c r="AG15" s="283">
        <f>Z15+AA15+AB15+AF15+AC15+AE15</f>
        <v>66787281</v>
      </c>
    </row>
    <row r="16" spans="1:33" ht="17.25">
      <c r="A16" s="72">
        <v>13</v>
      </c>
      <c r="B16" s="73" t="s">
        <v>858</v>
      </c>
      <c r="C16" s="67">
        <v>0</v>
      </c>
      <c r="D16" s="74"/>
      <c r="E16" s="75" t="s">
        <v>163</v>
      </c>
      <c r="F16" s="76">
        <f>F14+F15</f>
        <v>20849500</v>
      </c>
      <c r="G16" s="76">
        <f>G15</f>
        <v>0</v>
      </c>
      <c r="H16" s="76">
        <f aca="true" t="shared" si="0" ref="H16:Y16">H15</f>
        <v>0</v>
      </c>
      <c r="I16" s="76">
        <f t="shared" si="0"/>
        <v>0</v>
      </c>
      <c r="J16" s="76">
        <f t="shared" si="0"/>
        <v>0</v>
      </c>
      <c r="K16" s="76">
        <f t="shared" si="0"/>
        <v>3880240</v>
      </c>
      <c r="L16" s="76">
        <f t="shared" si="0"/>
        <v>961760</v>
      </c>
      <c r="M16" s="76">
        <f t="shared" si="0"/>
        <v>1622391</v>
      </c>
      <c r="N16" s="76">
        <f t="shared" si="0"/>
        <v>5508153</v>
      </c>
      <c r="O16" s="76">
        <f t="shared" si="0"/>
        <v>2173320</v>
      </c>
      <c r="P16" s="76">
        <f t="shared" si="0"/>
        <v>0</v>
      </c>
      <c r="Q16" s="76">
        <f t="shared" si="0"/>
        <v>0</v>
      </c>
      <c r="R16" s="76">
        <f aca="true" t="shared" si="1" ref="R16:X16">R15</f>
        <v>0</v>
      </c>
      <c r="S16" s="76">
        <f t="shared" si="1"/>
        <v>0</v>
      </c>
      <c r="T16" s="76">
        <f t="shared" si="1"/>
        <v>0</v>
      </c>
      <c r="U16" s="76">
        <f t="shared" si="1"/>
        <v>0</v>
      </c>
      <c r="V16" s="76">
        <f t="shared" si="1"/>
        <v>0</v>
      </c>
      <c r="W16" s="76">
        <f t="shared" si="1"/>
        <v>10335357</v>
      </c>
      <c r="X16" s="76">
        <f t="shared" si="1"/>
        <v>9931560</v>
      </c>
      <c r="Y16" s="76">
        <f t="shared" si="0"/>
        <v>3325000</v>
      </c>
      <c r="Z16" s="76">
        <f>Z15</f>
        <v>58587281</v>
      </c>
      <c r="AA16" s="76">
        <f>AA14</f>
        <v>90521400</v>
      </c>
      <c r="AB16" s="76">
        <f>AB14+AB15</f>
        <v>1310050</v>
      </c>
      <c r="AC16" s="76">
        <f>AC14+AC15</f>
        <v>200000</v>
      </c>
      <c r="AD16" s="76">
        <f>AD14+AD15</f>
        <v>1000000</v>
      </c>
      <c r="AE16" s="76">
        <f>AE14+AE15</f>
        <v>1109950</v>
      </c>
      <c r="AF16" s="76">
        <f>AF14+AF15</f>
        <v>8000000</v>
      </c>
      <c r="AG16" s="76">
        <f>SUM(AG14:AG15)</f>
        <v>160728681</v>
      </c>
    </row>
    <row r="17" spans="1:47" s="79" customFormat="1" ht="28.5" customHeight="1" hidden="1">
      <c r="A17" s="77"/>
      <c r="B17" s="78"/>
      <c r="C17" s="78"/>
      <c r="D17" s="16"/>
      <c r="E17" s="847" t="s">
        <v>161</v>
      </c>
      <c r="F17" s="847"/>
      <c r="G17" s="847"/>
      <c r="H17" s="847"/>
      <c r="I17" s="847"/>
      <c r="J17" s="847"/>
      <c r="K17" s="847"/>
      <c r="L17" s="847"/>
      <c r="M17" s="847"/>
      <c r="N17" s="847"/>
      <c r="O17" s="847"/>
      <c r="P17" s="847"/>
      <c r="Q17" s="847"/>
      <c r="R17" s="847"/>
      <c r="S17" s="847"/>
      <c r="T17" s="847"/>
      <c r="U17" s="847"/>
      <c r="V17" s="847"/>
      <c r="W17" s="847"/>
      <c r="X17" s="847"/>
      <c r="Y17" s="847"/>
      <c r="Z17" s="847"/>
      <c r="AA17" s="847"/>
      <c r="AB17" s="16"/>
      <c r="AC17" s="16"/>
      <c r="AD17" s="16"/>
      <c r="AE17" s="16"/>
      <c r="AF17" s="16"/>
      <c r="AG17" s="16"/>
      <c r="AH17" s="16"/>
      <c r="AI17" s="16"/>
      <c r="AJ17" s="16"/>
      <c r="AK17" s="16"/>
      <c r="AL17" s="16"/>
      <c r="AM17" s="16"/>
      <c r="AN17" s="16"/>
      <c r="AO17" s="16"/>
      <c r="AP17" s="16"/>
      <c r="AQ17" s="16"/>
      <c r="AR17" s="16"/>
      <c r="AS17" s="16"/>
      <c r="AT17" s="16"/>
      <c r="AU17" s="16"/>
    </row>
    <row r="18" spans="1:26" ht="28.5" customHeight="1">
      <c r="A18" s="80"/>
      <c r="B18" s="81"/>
      <c r="C18" s="81"/>
      <c r="E18" s="823" t="s">
        <v>208</v>
      </c>
      <c r="F18" s="823"/>
      <c r="G18" s="823"/>
      <c r="H18" s="823"/>
      <c r="I18" s="823"/>
      <c r="J18" s="823"/>
      <c r="K18" s="823"/>
      <c r="L18" s="823"/>
      <c r="M18" s="823"/>
      <c r="N18" s="823"/>
      <c r="O18" s="823"/>
      <c r="P18" s="823"/>
      <c r="Q18" s="823"/>
      <c r="R18" s="823"/>
      <c r="S18" s="823"/>
      <c r="T18" s="823"/>
      <c r="U18" s="823"/>
      <c r="V18" s="823"/>
      <c r="W18" s="823"/>
      <c r="X18" s="823"/>
      <c r="Y18" s="823"/>
      <c r="Z18" s="823"/>
    </row>
    <row r="19" spans="1:26" ht="28.5" customHeight="1">
      <c r="A19" s="80"/>
      <c r="B19" s="81"/>
      <c r="C19" s="81"/>
      <c r="E19" s="823" t="s">
        <v>271</v>
      </c>
      <c r="F19" s="823"/>
      <c r="G19" s="823"/>
      <c r="H19" s="823"/>
      <c r="I19" s="823"/>
      <c r="J19" s="823"/>
      <c r="K19" s="823"/>
      <c r="L19" s="823"/>
      <c r="M19" s="340"/>
      <c r="N19" s="340"/>
      <c r="O19" s="340"/>
      <c r="P19" s="340"/>
      <c r="Q19" s="340"/>
      <c r="R19" s="340"/>
      <c r="S19" s="340"/>
      <c r="T19" s="340"/>
      <c r="U19" s="340"/>
      <c r="V19" s="340"/>
      <c r="W19" s="340"/>
      <c r="X19" s="340"/>
      <c r="Y19" s="340"/>
      <c r="Z19" s="340"/>
    </row>
    <row r="20" spans="1:47" s="86" customFormat="1" ht="37.5" customHeight="1">
      <c r="A20" s="82"/>
      <c r="B20" s="83"/>
      <c r="C20" s="83"/>
      <c r="D20" s="84" t="s">
        <v>469</v>
      </c>
      <c r="E20" s="53"/>
      <c r="F20" s="84"/>
      <c r="G20" s="85"/>
      <c r="H20" s="85"/>
      <c r="I20" s="85"/>
      <c r="K20" s="84"/>
      <c r="L20" s="85"/>
      <c r="M20" s="85"/>
      <c r="N20" s="85"/>
      <c r="O20" s="85"/>
      <c r="P20" s="85"/>
      <c r="Q20" s="85"/>
      <c r="R20" s="85"/>
      <c r="S20" s="85"/>
      <c r="T20" s="85"/>
      <c r="U20" s="85"/>
      <c r="V20" s="85"/>
      <c r="W20" s="85"/>
      <c r="X20" s="85"/>
      <c r="Y20" s="85"/>
      <c r="Z20" s="85"/>
      <c r="AA20" s="85"/>
      <c r="AB20" s="84"/>
      <c r="AC20" s="84"/>
      <c r="AD20" s="84"/>
      <c r="AE20" s="84"/>
      <c r="AF20" s="84"/>
      <c r="AG20" s="86" t="s">
        <v>700</v>
      </c>
      <c r="AH20" s="84"/>
      <c r="AI20" s="84"/>
      <c r="AJ20" s="84"/>
      <c r="AK20" s="84"/>
      <c r="AL20" s="84"/>
      <c r="AM20" s="84"/>
      <c r="AN20" s="84"/>
      <c r="AO20" s="84"/>
      <c r="AP20" s="84"/>
      <c r="AQ20" s="84"/>
      <c r="AR20" s="84"/>
      <c r="AS20" s="84"/>
      <c r="AT20" s="84"/>
      <c r="AU20" s="84"/>
    </row>
    <row r="21" spans="1:47" s="89" customFormat="1" ht="12.75">
      <c r="A21" s="87"/>
      <c r="B21" s="88"/>
      <c r="C21" s="88"/>
      <c r="D21" s="16"/>
      <c r="E21" s="16"/>
      <c r="F21" s="16"/>
      <c r="G21" s="55"/>
      <c r="H21" s="55"/>
      <c r="I21" s="55"/>
      <c r="J21" s="55"/>
      <c r="K21" s="55"/>
      <c r="L21" s="55"/>
      <c r="M21" s="55"/>
      <c r="N21" s="55"/>
      <c r="O21" s="55"/>
      <c r="P21" s="55"/>
      <c r="Q21" s="55"/>
      <c r="R21" s="55"/>
      <c r="S21" s="55"/>
      <c r="T21" s="55"/>
      <c r="U21" s="55"/>
      <c r="V21" s="55"/>
      <c r="W21" s="55"/>
      <c r="X21" s="55"/>
      <c r="Y21" s="55"/>
      <c r="Z21" s="55"/>
      <c r="AA21" s="55"/>
      <c r="AB21" s="16"/>
      <c r="AC21" s="16"/>
      <c r="AD21" s="16"/>
      <c r="AE21" s="16"/>
      <c r="AF21" s="16"/>
      <c r="AG21" s="16"/>
      <c r="AH21" s="16"/>
      <c r="AI21" s="16"/>
      <c r="AJ21" s="16"/>
      <c r="AK21" s="16"/>
      <c r="AL21" s="16"/>
      <c r="AM21" s="16"/>
      <c r="AN21" s="16"/>
      <c r="AO21" s="16"/>
      <c r="AP21" s="16"/>
      <c r="AQ21" s="16"/>
      <c r="AR21" s="16"/>
      <c r="AS21" s="16"/>
      <c r="AT21" s="16"/>
      <c r="AU21" s="16"/>
    </row>
    <row r="22" spans="1:47" s="89" customFormat="1" ht="12.75">
      <c r="A22" s="87"/>
      <c r="B22" s="88"/>
      <c r="C22" s="88"/>
      <c r="D22" s="16"/>
      <c r="E22" s="16"/>
      <c r="F22" s="16"/>
      <c r="G22" s="55"/>
      <c r="H22" s="55"/>
      <c r="I22" s="55"/>
      <c r="J22" s="55"/>
      <c r="K22" s="55"/>
      <c r="L22" s="55"/>
      <c r="M22" s="55"/>
      <c r="N22" s="55"/>
      <c r="O22" s="55"/>
      <c r="P22" s="55"/>
      <c r="Q22" s="55"/>
      <c r="R22" s="55"/>
      <c r="S22" s="55"/>
      <c r="T22" s="55"/>
      <c r="U22" s="55"/>
      <c r="V22" s="55"/>
      <c r="W22" s="55"/>
      <c r="X22" s="55"/>
      <c r="Y22" s="55"/>
      <c r="Z22" s="55"/>
      <c r="AA22" s="55"/>
      <c r="AB22" s="16"/>
      <c r="AC22" s="16"/>
      <c r="AD22" s="16"/>
      <c r="AE22" s="16"/>
      <c r="AF22" s="16"/>
      <c r="AG22" s="16"/>
      <c r="AH22" s="16"/>
      <c r="AI22" s="16"/>
      <c r="AJ22" s="16"/>
      <c r="AK22" s="16"/>
      <c r="AL22" s="16"/>
      <c r="AM22" s="16"/>
      <c r="AN22" s="16"/>
      <c r="AO22" s="16"/>
      <c r="AP22" s="16"/>
      <c r="AQ22" s="16"/>
      <c r="AR22" s="16"/>
      <c r="AS22" s="16"/>
      <c r="AT22" s="16"/>
      <c r="AU22" s="16"/>
    </row>
    <row r="23" spans="1:44" s="40" customFormat="1" ht="12.75">
      <c r="A23" s="1"/>
      <c r="B23" s="1"/>
      <c r="C23" s="1"/>
      <c r="D23" s="1"/>
      <c r="E23" s="848"/>
      <c r="F23" s="8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43"/>
      <c r="AJ23" s="1"/>
      <c r="AK23" s="1"/>
      <c r="AL23" s="1"/>
      <c r="AM23" s="1"/>
      <c r="AN23" s="1"/>
      <c r="AO23" s="1"/>
      <c r="AP23" s="1"/>
      <c r="AQ23" s="1"/>
      <c r="AR23" s="43"/>
    </row>
    <row r="24" spans="1:3" ht="12.75">
      <c r="A24" s="80"/>
      <c r="B24" s="81"/>
      <c r="C24" s="81"/>
    </row>
    <row r="25" spans="1:3" ht="12.75">
      <c r="A25" s="80"/>
      <c r="B25" s="81"/>
      <c r="C25" s="81"/>
    </row>
    <row r="26" spans="1:3" ht="12.75">
      <c r="A26" s="80"/>
      <c r="B26" s="81"/>
      <c r="C26" s="81"/>
    </row>
    <row r="27" spans="1:3" ht="12.75">
      <c r="A27" s="80"/>
      <c r="B27" s="81"/>
      <c r="C27" s="81"/>
    </row>
    <row r="28" spans="1:3" ht="12.75">
      <c r="A28" s="80"/>
      <c r="B28" s="81"/>
      <c r="C28" s="81"/>
    </row>
    <row r="29" spans="1:3" ht="12.75">
      <c r="A29" s="80"/>
      <c r="B29" s="81"/>
      <c r="C29" s="81"/>
    </row>
    <row r="30" spans="1:3" ht="12.75">
      <c r="A30" s="80"/>
      <c r="B30" s="81"/>
      <c r="C30" s="81"/>
    </row>
    <row r="31" spans="1:3" ht="12.75">
      <c r="A31" s="80"/>
      <c r="B31" s="81"/>
      <c r="C31" s="81"/>
    </row>
    <row r="32" spans="1:3" ht="12.75">
      <c r="A32" s="80"/>
      <c r="B32" s="81"/>
      <c r="C32" s="81"/>
    </row>
    <row r="33" spans="1:3" ht="12.75">
      <c r="A33" s="80"/>
      <c r="B33" s="81"/>
      <c r="C33" s="81"/>
    </row>
    <row r="34" spans="1:3" ht="12.75">
      <c r="A34" s="80"/>
      <c r="B34" s="81"/>
      <c r="C34" s="81"/>
    </row>
    <row r="35" spans="1:3" ht="12.75">
      <c r="A35" s="80"/>
      <c r="B35" s="81"/>
      <c r="C35" s="81"/>
    </row>
    <row r="36" spans="1:3" ht="12.75">
      <c r="A36" s="80"/>
      <c r="B36" s="81"/>
      <c r="C36" s="81"/>
    </row>
    <row r="37" spans="1:3" ht="12.75">
      <c r="A37" s="80"/>
      <c r="B37" s="81"/>
      <c r="C37" s="81"/>
    </row>
    <row r="38" spans="1:3" ht="12.75">
      <c r="A38" s="80"/>
      <c r="B38" s="81"/>
      <c r="C38" s="81"/>
    </row>
    <row r="39" spans="1:3" ht="12.75">
      <c r="A39" s="80"/>
      <c r="B39" s="81"/>
      <c r="C39" s="81"/>
    </row>
    <row r="40" spans="1:3" ht="12.75">
      <c r="A40" s="80"/>
      <c r="B40" s="81"/>
      <c r="C40" s="81"/>
    </row>
    <row r="41" spans="1:3" ht="12.75">
      <c r="A41" s="80"/>
      <c r="B41" s="81"/>
      <c r="C41" s="81"/>
    </row>
    <row r="42" spans="1:3" ht="12.75">
      <c r="A42" s="80"/>
      <c r="B42" s="81"/>
      <c r="C42" s="81"/>
    </row>
    <row r="43" spans="1:3" ht="12.75">
      <c r="A43" s="80"/>
      <c r="B43" s="81"/>
      <c r="C43" s="81"/>
    </row>
    <row r="44" spans="1:3" ht="12.75">
      <c r="A44" s="80"/>
      <c r="B44" s="81"/>
      <c r="C44" s="81"/>
    </row>
    <row r="45" spans="1:3" ht="12.75">
      <c r="A45" s="80"/>
      <c r="B45" s="81"/>
      <c r="C45" s="81"/>
    </row>
    <row r="46" spans="1:3" ht="12.75">
      <c r="A46" s="80"/>
      <c r="B46" s="81"/>
      <c r="C46" s="81"/>
    </row>
    <row r="47" ht="44.25" customHeight="1">
      <c r="A47" s="80"/>
    </row>
    <row r="48" ht="12.75">
      <c r="A48" s="80"/>
    </row>
    <row r="49" ht="12.75">
      <c r="A49" s="80"/>
    </row>
    <row r="50" ht="15.75" thickBot="1">
      <c r="C50" s="90"/>
    </row>
    <row r="60" ht="45.75" customHeight="1"/>
  </sheetData>
  <sheetProtection/>
  <mergeCells count="21">
    <mergeCell ref="E18:Z18"/>
    <mergeCell ref="F7:Z7"/>
    <mergeCell ref="E7:E13"/>
    <mergeCell ref="E23:F23"/>
    <mergeCell ref="AA8:AA10"/>
    <mergeCell ref="Z8:Z11"/>
    <mergeCell ref="G9:Y9"/>
    <mergeCell ref="F8:F10"/>
    <mergeCell ref="AA12:AF12"/>
    <mergeCell ref="E19:L19"/>
    <mergeCell ref="AB8:AF9"/>
    <mergeCell ref="AC10:AF10"/>
    <mergeCell ref="F12:X12"/>
    <mergeCell ref="AF1:AG1"/>
    <mergeCell ref="AG7:AG11"/>
    <mergeCell ref="G8:Y8"/>
    <mergeCell ref="G10:X10"/>
    <mergeCell ref="D2:AG2"/>
    <mergeCell ref="E17:AA17"/>
    <mergeCell ref="D7:D13"/>
    <mergeCell ref="AA7:AF7"/>
  </mergeCells>
  <printOptions horizontalCentered="1"/>
  <pageMargins left="0.28" right="0.18" top="0.4330708661417323" bottom="0.3937007874015748" header="0.31496062992125984" footer="0.31496062992125984"/>
  <pageSetup fitToHeight="1" fitToWidth="1" horizontalDpi="600" verticalDpi="600" orientation="landscape" paperSize="9" scale="37"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0"/>
  <sheetViews>
    <sheetView view="pageBreakPreview" zoomScale="75" zoomScaleNormal="70" zoomScaleSheetLayoutView="75" zoomScalePageLayoutView="0" workbookViewId="0" topLeftCell="A30">
      <selection activeCell="E33" sqref="E33"/>
    </sheetView>
  </sheetViews>
  <sheetFormatPr defaultColWidth="7" defaultRowHeight="12.75"/>
  <cols>
    <col min="1" max="1" width="14.33203125" style="617" customWidth="1"/>
    <col min="2" max="2" width="13.66015625" style="618" customWidth="1"/>
    <col min="3" max="3" width="12.83203125" style="619" customWidth="1"/>
    <col min="4" max="4" width="44.83203125" style="620" customWidth="1"/>
    <col min="5" max="5" width="67" style="621" customWidth="1"/>
    <col min="6" max="7" width="21.16015625" style="618" customWidth="1"/>
    <col min="8" max="8" width="21.16015625" style="622" customWidth="1"/>
    <col min="9" max="9" width="25.16015625" style="632" customWidth="1"/>
    <col min="10" max="10" width="26.16015625" style="633" customWidth="1"/>
    <col min="11" max="11" width="14.83203125" style="623" bestFit="1" customWidth="1"/>
    <col min="12" max="12" width="7" style="623" customWidth="1"/>
    <col min="13" max="13" width="11.16015625" style="623" customWidth="1"/>
    <col min="14" max="16384" width="7" style="623" customWidth="1"/>
  </cols>
  <sheetData>
    <row r="1" spans="9:10" ht="173.25" customHeight="1">
      <c r="I1" s="909" t="s">
        <v>1121</v>
      </c>
      <c r="J1" s="910"/>
    </row>
    <row r="3" spans="1:10" ht="54" customHeight="1">
      <c r="A3" s="911" t="s">
        <v>1122</v>
      </c>
      <c r="B3" s="911"/>
      <c r="C3" s="911"/>
      <c r="D3" s="911"/>
      <c r="E3" s="911"/>
      <c r="F3" s="911"/>
      <c r="G3" s="911"/>
      <c r="H3" s="911"/>
      <c r="I3" s="911"/>
      <c r="J3" s="911"/>
    </row>
    <row r="4" spans="1:8" ht="15">
      <c r="A4" s="624" t="s">
        <v>1123</v>
      </c>
      <c r="B4" s="625"/>
      <c r="C4" s="626"/>
      <c r="D4" s="627"/>
      <c r="E4" s="628"/>
      <c r="F4" s="629"/>
      <c r="G4" s="630"/>
      <c r="H4" s="631"/>
    </row>
    <row r="5" spans="1:10" ht="15">
      <c r="A5" s="634" t="s">
        <v>162</v>
      </c>
      <c r="B5" s="625"/>
      <c r="C5" s="626"/>
      <c r="D5" s="627"/>
      <c r="E5" s="628"/>
      <c r="F5" s="629"/>
      <c r="G5" s="630"/>
      <c r="H5" s="631"/>
      <c r="J5" s="635"/>
    </row>
    <row r="6" spans="1:10" ht="15">
      <c r="A6" s="636"/>
      <c r="B6" s="637"/>
      <c r="C6" s="638"/>
      <c r="D6" s="639"/>
      <c r="E6" s="628"/>
      <c r="F6" s="629"/>
      <c r="G6" s="630"/>
      <c r="H6" s="631"/>
      <c r="J6" s="635" t="s">
        <v>238</v>
      </c>
    </row>
    <row r="7" spans="1:10" ht="150" customHeight="1">
      <c r="A7" s="640" t="s">
        <v>164</v>
      </c>
      <c r="B7" s="641" t="s">
        <v>165</v>
      </c>
      <c r="C7" s="640" t="s">
        <v>685</v>
      </c>
      <c r="D7" s="642" t="s">
        <v>1124</v>
      </c>
      <c r="E7" s="643" t="s">
        <v>1125</v>
      </c>
      <c r="F7" s="643" t="s">
        <v>1126</v>
      </c>
      <c r="G7" s="643" t="s">
        <v>1127</v>
      </c>
      <c r="H7" s="644" t="s">
        <v>1128</v>
      </c>
      <c r="I7" s="645" t="s">
        <v>1129</v>
      </c>
      <c r="J7" s="646" t="s">
        <v>1130</v>
      </c>
    </row>
    <row r="8" spans="1:10" ht="30.75">
      <c r="A8" s="647" t="s">
        <v>336</v>
      </c>
      <c r="B8" s="647"/>
      <c r="C8" s="647"/>
      <c r="D8" s="648" t="s">
        <v>418</v>
      </c>
      <c r="E8" s="649"/>
      <c r="F8" s="649"/>
      <c r="G8" s="649"/>
      <c r="H8" s="650"/>
      <c r="I8" s="651">
        <f>I9</f>
        <v>1455151.54</v>
      </c>
      <c r="J8" s="652"/>
    </row>
    <row r="9" spans="1:10" ht="30.75">
      <c r="A9" s="647" t="s">
        <v>339</v>
      </c>
      <c r="B9" s="647"/>
      <c r="C9" s="647"/>
      <c r="D9" s="648" t="s">
        <v>418</v>
      </c>
      <c r="E9" s="649"/>
      <c r="F9" s="649"/>
      <c r="G9" s="649"/>
      <c r="H9" s="650"/>
      <c r="I9" s="651">
        <f>I10</f>
        <v>1455151.54</v>
      </c>
      <c r="J9" s="652"/>
    </row>
    <row r="10" spans="1:10" s="658" customFormat="1" ht="15">
      <c r="A10" s="867" t="s">
        <v>788</v>
      </c>
      <c r="B10" s="867" t="s">
        <v>367</v>
      </c>
      <c r="C10" s="867" t="s">
        <v>105</v>
      </c>
      <c r="D10" s="868" t="s">
        <v>360</v>
      </c>
      <c r="E10" s="655"/>
      <c r="F10" s="655"/>
      <c r="G10" s="655"/>
      <c r="H10" s="656"/>
      <c r="I10" s="657">
        <f>SUM(I11:I13)</f>
        <v>1455151.54</v>
      </c>
      <c r="J10" s="646"/>
    </row>
    <row r="11" spans="1:10" s="658" customFormat="1" ht="30.75">
      <c r="A11" s="867"/>
      <c r="B11" s="867"/>
      <c r="C11" s="867"/>
      <c r="D11" s="868"/>
      <c r="E11" s="659" t="s">
        <v>1131</v>
      </c>
      <c r="F11" s="660"/>
      <c r="G11" s="660"/>
      <c r="H11" s="661"/>
      <c r="I11" s="662">
        <v>1240151.54</v>
      </c>
      <c r="J11" s="646"/>
    </row>
    <row r="12" spans="1:10" s="658" customFormat="1" ht="30.75">
      <c r="A12" s="867"/>
      <c r="B12" s="867"/>
      <c r="C12" s="867"/>
      <c r="D12" s="868"/>
      <c r="E12" s="659" t="s">
        <v>1132</v>
      </c>
      <c r="F12" s="660"/>
      <c r="G12" s="660"/>
      <c r="H12" s="661"/>
      <c r="I12" s="662">
        <v>215000</v>
      </c>
      <c r="J12" s="646"/>
    </row>
    <row r="13" spans="1:10" s="658" customFormat="1" ht="15" hidden="1">
      <c r="A13" s="867"/>
      <c r="B13" s="867"/>
      <c r="C13" s="867"/>
      <c r="D13" s="868"/>
      <c r="E13" s="659" t="s">
        <v>1133</v>
      </c>
      <c r="F13" s="660"/>
      <c r="G13" s="660"/>
      <c r="H13" s="661"/>
      <c r="I13" s="662"/>
      <c r="J13" s="646"/>
    </row>
    <row r="14" spans="1:11" ht="30.75">
      <c r="A14" s="663" t="s">
        <v>787</v>
      </c>
      <c r="B14" s="664"/>
      <c r="C14" s="665"/>
      <c r="D14" s="649" t="s">
        <v>1134</v>
      </c>
      <c r="E14" s="666"/>
      <c r="F14" s="667"/>
      <c r="G14" s="667"/>
      <c r="H14" s="668"/>
      <c r="I14" s="669">
        <f>I15</f>
        <v>115701559.97</v>
      </c>
      <c r="J14" s="670"/>
      <c r="K14" s="671"/>
    </row>
    <row r="15" spans="1:11" ht="30.75">
      <c r="A15" s="663" t="s">
        <v>786</v>
      </c>
      <c r="B15" s="664"/>
      <c r="C15" s="665"/>
      <c r="D15" s="649" t="s">
        <v>1134</v>
      </c>
      <c r="E15" s="666"/>
      <c r="F15" s="667"/>
      <c r="G15" s="667"/>
      <c r="H15" s="668"/>
      <c r="I15" s="669">
        <f>I16+I30+I62+I68+I78+I85+I91+I121+I273+I282+I296+I87+I89+I289+I119+I75+I322+I287</f>
        <v>115701559.97</v>
      </c>
      <c r="J15" s="670"/>
      <c r="K15" s="671"/>
    </row>
    <row r="16" spans="1:10" ht="15">
      <c r="A16" s="888" t="s">
        <v>783</v>
      </c>
      <c r="B16" s="906">
        <v>1010</v>
      </c>
      <c r="C16" s="888" t="s">
        <v>891</v>
      </c>
      <c r="D16" s="900" t="s">
        <v>789</v>
      </c>
      <c r="E16" s="672"/>
      <c r="F16" s="166"/>
      <c r="G16" s="166"/>
      <c r="H16" s="673"/>
      <c r="I16" s="674">
        <f>SUM(I17:I29)</f>
        <v>992213</v>
      </c>
      <c r="J16" s="675"/>
    </row>
    <row r="17" spans="1:10" ht="15">
      <c r="A17" s="889"/>
      <c r="B17" s="907"/>
      <c r="C17" s="889"/>
      <c r="D17" s="901"/>
      <c r="E17" s="676" t="s">
        <v>1135</v>
      </c>
      <c r="F17" s="677"/>
      <c r="G17" s="99"/>
      <c r="H17" s="678"/>
      <c r="I17" s="99">
        <v>150000</v>
      </c>
      <c r="J17" s="679"/>
    </row>
    <row r="18" spans="1:10" ht="15">
      <c r="A18" s="889"/>
      <c r="B18" s="907"/>
      <c r="C18" s="889"/>
      <c r="D18" s="901"/>
      <c r="E18" s="676" t="s">
        <v>1136</v>
      </c>
      <c r="F18" s="677"/>
      <c r="G18" s="99"/>
      <c r="H18" s="678"/>
      <c r="I18" s="99">
        <v>80000</v>
      </c>
      <c r="J18" s="679"/>
    </row>
    <row r="19" spans="1:10" ht="15">
      <c r="A19" s="889"/>
      <c r="B19" s="907"/>
      <c r="C19" s="889"/>
      <c r="D19" s="901"/>
      <c r="E19" s="676" t="s">
        <v>1137</v>
      </c>
      <c r="F19" s="677"/>
      <c r="G19" s="99"/>
      <c r="H19" s="678"/>
      <c r="I19" s="99">
        <v>20000</v>
      </c>
      <c r="J19" s="680"/>
    </row>
    <row r="20" spans="1:10" ht="15">
      <c r="A20" s="889"/>
      <c r="B20" s="907"/>
      <c r="C20" s="889"/>
      <c r="D20" s="901"/>
      <c r="E20" s="676" t="s">
        <v>1138</v>
      </c>
      <c r="F20" s="677"/>
      <c r="G20" s="99"/>
      <c r="H20" s="678"/>
      <c r="I20" s="99">
        <v>80000</v>
      </c>
      <c r="J20" s="679"/>
    </row>
    <row r="21" spans="1:10" ht="15">
      <c r="A21" s="889"/>
      <c r="B21" s="907"/>
      <c r="C21" s="889"/>
      <c r="D21" s="901"/>
      <c r="E21" s="681" t="s">
        <v>1139</v>
      </c>
      <c r="F21" s="677"/>
      <c r="G21" s="99"/>
      <c r="H21" s="678"/>
      <c r="I21" s="99">
        <v>75000</v>
      </c>
      <c r="J21" s="679"/>
    </row>
    <row r="22" spans="1:10" ht="15">
      <c r="A22" s="889"/>
      <c r="B22" s="907"/>
      <c r="C22" s="889"/>
      <c r="D22" s="901"/>
      <c r="E22" s="676" t="s">
        <v>1140</v>
      </c>
      <c r="F22" s="677"/>
      <c r="G22" s="99"/>
      <c r="H22" s="678"/>
      <c r="I22" s="99">
        <v>120000</v>
      </c>
      <c r="J22" s="679"/>
    </row>
    <row r="23" spans="1:10" ht="15" hidden="1">
      <c r="A23" s="889"/>
      <c r="B23" s="907"/>
      <c r="C23" s="889"/>
      <c r="D23" s="901"/>
      <c r="E23" s="676" t="s">
        <v>1141</v>
      </c>
      <c r="F23" s="677"/>
      <c r="G23" s="99"/>
      <c r="H23" s="678"/>
      <c r="I23" s="99"/>
      <c r="J23" s="679"/>
    </row>
    <row r="24" spans="1:10" ht="15">
      <c r="A24" s="889"/>
      <c r="B24" s="907"/>
      <c r="C24" s="889"/>
      <c r="D24" s="901"/>
      <c r="E24" s="676" t="s">
        <v>1142</v>
      </c>
      <c r="F24" s="677"/>
      <c r="G24" s="99"/>
      <c r="H24" s="678"/>
      <c r="I24" s="99">
        <v>80000</v>
      </c>
      <c r="J24" s="679"/>
    </row>
    <row r="25" spans="1:10" ht="15">
      <c r="A25" s="889"/>
      <c r="B25" s="907"/>
      <c r="C25" s="889"/>
      <c r="D25" s="901"/>
      <c r="E25" s="676" t="s">
        <v>1143</v>
      </c>
      <c r="F25" s="677"/>
      <c r="G25" s="99"/>
      <c r="H25" s="678"/>
      <c r="I25" s="99">
        <v>80000</v>
      </c>
      <c r="J25" s="679"/>
    </row>
    <row r="26" spans="1:10" ht="15">
      <c r="A26" s="889"/>
      <c r="B26" s="907"/>
      <c r="C26" s="889"/>
      <c r="D26" s="901"/>
      <c r="E26" s="681" t="s">
        <v>1144</v>
      </c>
      <c r="F26" s="677"/>
      <c r="G26" s="99"/>
      <c r="H26" s="678"/>
      <c r="I26" s="99">
        <v>97000</v>
      </c>
      <c r="J26" s="679"/>
    </row>
    <row r="27" spans="1:10" ht="79.5" customHeight="1">
      <c r="A27" s="889"/>
      <c r="B27" s="907"/>
      <c r="C27" s="889"/>
      <c r="D27" s="901"/>
      <c r="E27" s="681" t="s">
        <v>1145</v>
      </c>
      <c r="F27" s="677"/>
      <c r="G27" s="99"/>
      <c r="H27" s="678"/>
      <c r="I27" s="99">
        <v>83173</v>
      </c>
      <c r="J27" s="679"/>
    </row>
    <row r="28" spans="1:10" ht="105" customHeight="1">
      <c r="A28" s="889"/>
      <c r="B28" s="907"/>
      <c r="C28" s="889"/>
      <c r="D28" s="901"/>
      <c r="E28" s="681" t="s">
        <v>1146</v>
      </c>
      <c r="F28" s="677"/>
      <c r="G28" s="99"/>
      <c r="H28" s="678"/>
      <c r="I28" s="99">
        <v>53227</v>
      </c>
      <c r="J28" s="679"/>
    </row>
    <row r="29" spans="1:10" s="658" customFormat="1" ht="116.25" customHeight="1">
      <c r="A29" s="890"/>
      <c r="B29" s="908"/>
      <c r="C29" s="890"/>
      <c r="D29" s="902"/>
      <c r="E29" s="682" t="s">
        <v>1147</v>
      </c>
      <c r="F29" s="683"/>
      <c r="G29" s="166"/>
      <c r="H29" s="673"/>
      <c r="I29" s="166">
        <v>73813</v>
      </c>
      <c r="J29" s="684"/>
    </row>
    <row r="30" spans="1:10" ht="15" customHeight="1">
      <c r="A30" s="888" t="s">
        <v>782</v>
      </c>
      <c r="B30" s="891">
        <v>1020</v>
      </c>
      <c r="C30" s="888" t="s">
        <v>893</v>
      </c>
      <c r="D30" s="900" t="s">
        <v>186</v>
      </c>
      <c r="E30" s="685"/>
      <c r="F30" s="166"/>
      <c r="G30" s="662"/>
      <c r="H30" s="673"/>
      <c r="I30" s="674">
        <f>SUM(I31:I61)</f>
        <v>6436980.9399999995</v>
      </c>
      <c r="J30" s="675"/>
    </row>
    <row r="31" spans="1:10" ht="77.25" customHeight="1">
      <c r="A31" s="889"/>
      <c r="B31" s="892"/>
      <c r="C31" s="889"/>
      <c r="D31" s="901"/>
      <c r="E31" s="685" t="s">
        <v>1145</v>
      </c>
      <c r="F31" s="166"/>
      <c r="G31" s="662"/>
      <c r="H31" s="673"/>
      <c r="I31" s="166">
        <v>293822</v>
      </c>
      <c r="J31" s="675"/>
    </row>
    <row r="32" spans="1:10" ht="104.25" customHeight="1">
      <c r="A32" s="889"/>
      <c r="B32" s="892"/>
      <c r="C32" s="889"/>
      <c r="D32" s="901"/>
      <c r="E32" s="685" t="s">
        <v>1148</v>
      </c>
      <c r="F32" s="166"/>
      <c r="G32" s="662"/>
      <c r="H32" s="673"/>
      <c r="I32" s="166">
        <v>54761</v>
      </c>
      <c r="J32" s="675"/>
    </row>
    <row r="33" spans="1:10" s="658" customFormat="1" ht="138.75" customHeight="1">
      <c r="A33" s="889"/>
      <c r="B33" s="892"/>
      <c r="C33" s="889"/>
      <c r="D33" s="901"/>
      <c r="E33" s="685" t="s">
        <v>1149</v>
      </c>
      <c r="F33" s="166"/>
      <c r="G33" s="686"/>
      <c r="H33" s="673"/>
      <c r="I33" s="166">
        <v>163820.3</v>
      </c>
      <c r="J33" s="675"/>
    </row>
    <row r="34" spans="1:10" s="658" customFormat="1" ht="84" customHeight="1">
      <c r="A34" s="889"/>
      <c r="B34" s="892"/>
      <c r="C34" s="889"/>
      <c r="D34" s="901"/>
      <c r="E34" s="685" t="s">
        <v>1150</v>
      </c>
      <c r="F34" s="166"/>
      <c r="G34" s="686"/>
      <c r="H34" s="673"/>
      <c r="I34" s="166">
        <v>972422.86</v>
      </c>
      <c r="J34" s="675"/>
    </row>
    <row r="35" spans="1:10" s="658" customFormat="1" ht="138.75" customHeight="1">
      <c r="A35" s="889"/>
      <c r="B35" s="892"/>
      <c r="C35" s="889"/>
      <c r="D35" s="901"/>
      <c r="E35" s="685" t="s">
        <v>1151</v>
      </c>
      <c r="F35" s="166"/>
      <c r="G35" s="686"/>
      <c r="H35" s="673"/>
      <c r="I35" s="166">
        <v>124825</v>
      </c>
      <c r="J35" s="675"/>
    </row>
    <row r="36" spans="1:10" s="658" customFormat="1" ht="45" customHeight="1">
      <c r="A36" s="889"/>
      <c r="B36" s="892"/>
      <c r="C36" s="889"/>
      <c r="D36" s="901"/>
      <c r="E36" s="685" t="s">
        <v>1152</v>
      </c>
      <c r="F36" s="166"/>
      <c r="G36" s="686"/>
      <c r="H36" s="673"/>
      <c r="I36" s="166">
        <v>300000</v>
      </c>
      <c r="J36" s="675"/>
    </row>
    <row r="37" spans="1:10" s="658" customFormat="1" ht="15">
      <c r="A37" s="889"/>
      <c r="B37" s="892"/>
      <c r="C37" s="889"/>
      <c r="D37" s="901"/>
      <c r="E37" s="685" t="s">
        <v>1153</v>
      </c>
      <c r="F37" s="166"/>
      <c r="G37" s="686"/>
      <c r="H37" s="673"/>
      <c r="I37" s="166">
        <v>255888.78</v>
      </c>
      <c r="J37" s="675"/>
    </row>
    <row r="38" spans="1:10" s="658" customFormat="1" ht="93">
      <c r="A38" s="889"/>
      <c r="B38" s="892"/>
      <c r="C38" s="889"/>
      <c r="D38" s="901"/>
      <c r="E38" s="685" t="s">
        <v>1154</v>
      </c>
      <c r="F38" s="166"/>
      <c r="G38" s="686"/>
      <c r="H38" s="673"/>
      <c r="I38" s="166">
        <v>300000</v>
      </c>
      <c r="J38" s="675"/>
    </row>
    <row r="39" spans="1:10" s="658" customFormat="1" ht="15">
      <c r="A39" s="889"/>
      <c r="B39" s="892"/>
      <c r="C39" s="889"/>
      <c r="D39" s="901"/>
      <c r="E39" s="685" t="s">
        <v>1155</v>
      </c>
      <c r="F39" s="166"/>
      <c r="G39" s="686"/>
      <c r="H39" s="673"/>
      <c r="I39" s="166">
        <v>149681</v>
      </c>
      <c r="J39" s="675"/>
    </row>
    <row r="40" spans="1:10" s="658" customFormat="1" ht="15">
      <c r="A40" s="889"/>
      <c r="B40" s="892"/>
      <c r="C40" s="889"/>
      <c r="D40" s="901"/>
      <c r="E40" s="685" t="s">
        <v>1156</v>
      </c>
      <c r="F40" s="166"/>
      <c r="G40" s="686"/>
      <c r="H40" s="673"/>
      <c r="I40" s="166">
        <v>30000</v>
      </c>
      <c r="J40" s="675"/>
    </row>
    <row r="41" spans="1:10" ht="43.5" customHeight="1">
      <c r="A41" s="889"/>
      <c r="B41" s="892"/>
      <c r="C41" s="889"/>
      <c r="D41" s="901"/>
      <c r="E41" s="672" t="s">
        <v>1157</v>
      </c>
      <c r="F41" s="683"/>
      <c r="G41" s="166"/>
      <c r="H41" s="673"/>
      <c r="I41" s="166">
        <v>200000</v>
      </c>
      <c r="J41" s="684"/>
    </row>
    <row r="42" spans="1:10" ht="15">
      <c r="A42" s="889"/>
      <c r="B42" s="892"/>
      <c r="C42" s="889"/>
      <c r="D42" s="901"/>
      <c r="E42" s="672" t="s">
        <v>1158</v>
      </c>
      <c r="F42" s="683"/>
      <c r="G42" s="166"/>
      <c r="H42" s="673"/>
      <c r="I42" s="166">
        <v>50000</v>
      </c>
      <c r="J42" s="684"/>
    </row>
    <row r="43" spans="1:10" ht="30.75">
      <c r="A43" s="889"/>
      <c r="B43" s="892"/>
      <c r="C43" s="889"/>
      <c r="D43" s="901"/>
      <c r="E43" s="682" t="s">
        <v>1159</v>
      </c>
      <c r="F43" s="683"/>
      <c r="G43" s="166"/>
      <c r="H43" s="673"/>
      <c r="I43" s="166">
        <v>195000</v>
      </c>
      <c r="J43" s="684"/>
    </row>
    <row r="44" spans="1:10" ht="15">
      <c r="A44" s="889"/>
      <c r="B44" s="892"/>
      <c r="C44" s="889"/>
      <c r="D44" s="901"/>
      <c r="E44" s="682" t="s">
        <v>1160</v>
      </c>
      <c r="F44" s="683"/>
      <c r="G44" s="166"/>
      <c r="H44" s="673"/>
      <c r="I44" s="166">
        <v>195000</v>
      </c>
      <c r="J44" s="684"/>
    </row>
    <row r="45" spans="1:10" ht="15">
      <c r="A45" s="889"/>
      <c r="B45" s="892"/>
      <c r="C45" s="889"/>
      <c r="D45" s="901"/>
      <c r="E45" s="685" t="s">
        <v>1161</v>
      </c>
      <c r="F45" s="683"/>
      <c r="G45" s="166"/>
      <c r="H45" s="673"/>
      <c r="I45" s="166">
        <v>200000</v>
      </c>
      <c r="J45" s="684"/>
    </row>
    <row r="46" spans="1:10" ht="15">
      <c r="A46" s="889"/>
      <c r="B46" s="892"/>
      <c r="C46" s="889"/>
      <c r="D46" s="901"/>
      <c r="E46" s="685" t="s">
        <v>1162</v>
      </c>
      <c r="F46" s="683"/>
      <c r="G46" s="166"/>
      <c r="H46" s="673"/>
      <c r="I46" s="166">
        <v>200000</v>
      </c>
      <c r="J46" s="684"/>
    </row>
    <row r="47" spans="1:10" ht="15">
      <c r="A47" s="889"/>
      <c r="B47" s="892"/>
      <c r="C47" s="889"/>
      <c r="D47" s="901"/>
      <c r="E47" s="685" t="s">
        <v>1163</v>
      </c>
      <c r="F47" s="683"/>
      <c r="G47" s="166"/>
      <c r="H47" s="673"/>
      <c r="I47" s="166">
        <v>200000</v>
      </c>
      <c r="J47" s="684"/>
    </row>
    <row r="48" spans="1:10" ht="15">
      <c r="A48" s="889"/>
      <c r="B48" s="892"/>
      <c r="C48" s="889"/>
      <c r="D48" s="901"/>
      <c r="E48" s="685" t="s">
        <v>1164</v>
      </c>
      <c r="F48" s="683"/>
      <c r="G48" s="166"/>
      <c r="H48" s="673"/>
      <c r="I48" s="166">
        <v>200000</v>
      </c>
      <c r="J48" s="684"/>
    </row>
    <row r="49" spans="1:10" ht="78">
      <c r="A49" s="889"/>
      <c r="B49" s="892"/>
      <c r="C49" s="889"/>
      <c r="D49" s="901"/>
      <c r="E49" s="672" t="s">
        <v>1165</v>
      </c>
      <c r="F49" s="683"/>
      <c r="G49" s="166"/>
      <c r="H49" s="673"/>
      <c r="I49" s="166">
        <v>411760</v>
      </c>
      <c r="J49" s="684"/>
    </row>
    <row r="50" spans="1:10" ht="30.75">
      <c r="A50" s="889"/>
      <c r="B50" s="892"/>
      <c r="C50" s="889"/>
      <c r="D50" s="901"/>
      <c r="E50" s="672" t="s">
        <v>1166</v>
      </c>
      <c r="F50" s="683"/>
      <c r="G50" s="166"/>
      <c r="H50" s="673"/>
      <c r="I50" s="166">
        <v>200000</v>
      </c>
      <c r="J50" s="684"/>
    </row>
    <row r="51" spans="1:10" ht="30.75" customHeight="1" hidden="1">
      <c r="A51" s="889"/>
      <c r="B51" s="892"/>
      <c r="C51" s="889"/>
      <c r="D51" s="901"/>
      <c r="E51" s="672" t="s">
        <v>1167</v>
      </c>
      <c r="F51" s="683"/>
      <c r="G51" s="166"/>
      <c r="H51" s="673"/>
      <c r="I51" s="166">
        <f>150000-150000</f>
        <v>0</v>
      </c>
      <c r="J51" s="684"/>
    </row>
    <row r="52" spans="1:10" s="658" customFormat="1" ht="30.75">
      <c r="A52" s="889"/>
      <c r="B52" s="892"/>
      <c r="C52" s="889"/>
      <c r="D52" s="901"/>
      <c r="E52" s="672" t="s">
        <v>1168</v>
      </c>
      <c r="F52" s="683"/>
      <c r="G52" s="166"/>
      <c r="H52" s="673"/>
      <c r="I52" s="166">
        <v>70000</v>
      </c>
      <c r="J52" s="684"/>
    </row>
    <row r="53" spans="1:10" s="658" customFormat="1" ht="15">
      <c r="A53" s="889"/>
      <c r="B53" s="892"/>
      <c r="C53" s="889"/>
      <c r="D53" s="901"/>
      <c r="E53" s="685" t="s">
        <v>1169</v>
      </c>
      <c r="F53" s="683"/>
      <c r="G53" s="166"/>
      <c r="H53" s="673"/>
      <c r="I53" s="166">
        <v>200000</v>
      </c>
      <c r="J53" s="684"/>
    </row>
    <row r="54" spans="1:10" s="658" customFormat="1" ht="15">
      <c r="A54" s="889"/>
      <c r="B54" s="892"/>
      <c r="C54" s="889"/>
      <c r="D54" s="901"/>
      <c r="E54" s="685" t="s">
        <v>1170</v>
      </c>
      <c r="F54" s="683"/>
      <c r="G54" s="166"/>
      <c r="H54" s="673"/>
      <c r="I54" s="166">
        <v>200000</v>
      </c>
      <c r="J54" s="684"/>
    </row>
    <row r="55" spans="1:10" s="658" customFormat="1" ht="15">
      <c r="A55" s="889"/>
      <c r="B55" s="892"/>
      <c r="C55" s="889"/>
      <c r="D55" s="901"/>
      <c r="E55" s="685" t="s">
        <v>1171</v>
      </c>
      <c r="F55" s="683"/>
      <c r="G55" s="166"/>
      <c r="H55" s="673"/>
      <c r="I55" s="166">
        <v>200000</v>
      </c>
      <c r="J55" s="684"/>
    </row>
    <row r="56" spans="1:10" s="658" customFormat="1" ht="30.75">
      <c r="A56" s="889"/>
      <c r="B56" s="892"/>
      <c r="C56" s="889"/>
      <c r="D56" s="901"/>
      <c r="E56" s="685" t="s">
        <v>1172</v>
      </c>
      <c r="F56" s="683"/>
      <c r="G56" s="166"/>
      <c r="H56" s="673"/>
      <c r="I56" s="166">
        <v>120000</v>
      </c>
      <c r="J56" s="684"/>
    </row>
    <row r="57" spans="1:10" s="658" customFormat="1" ht="15">
      <c r="A57" s="889"/>
      <c r="B57" s="892"/>
      <c r="C57" s="889"/>
      <c r="D57" s="901"/>
      <c r="E57" s="685" t="s">
        <v>1173</v>
      </c>
      <c r="F57" s="683"/>
      <c r="G57" s="166"/>
      <c r="H57" s="673"/>
      <c r="I57" s="166">
        <v>200000</v>
      </c>
      <c r="J57" s="684"/>
    </row>
    <row r="58" spans="1:10" s="658" customFormat="1" ht="15">
      <c r="A58" s="889"/>
      <c r="B58" s="892"/>
      <c r="C58" s="889"/>
      <c r="D58" s="901"/>
      <c r="E58" s="685" t="s">
        <v>1174</v>
      </c>
      <c r="F58" s="683"/>
      <c r="G58" s="166"/>
      <c r="H58" s="673"/>
      <c r="I58" s="166">
        <v>200000</v>
      </c>
      <c r="J58" s="684"/>
    </row>
    <row r="59" spans="1:10" s="658" customFormat="1" ht="15">
      <c r="A59" s="889"/>
      <c r="B59" s="892"/>
      <c r="C59" s="889"/>
      <c r="D59" s="901"/>
      <c r="E59" s="685" t="s">
        <v>1175</v>
      </c>
      <c r="F59" s="683"/>
      <c r="G59" s="166"/>
      <c r="H59" s="673"/>
      <c r="I59" s="166">
        <v>200000</v>
      </c>
      <c r="J59" s="684"/>
    </row>
    <row r="60" spans="1:10" s="658" customFormat="1" ht="15">
      <c r="A60" s="889"/>
      <c r="B60" s="892"/>
      <c r="C60" s="889"/>
      <c r="D60" s="901"/>
      <c r="E60" s="682" t="s">
        <v>1176</v>
      </c>
      <c r="F60" s="683"/>
      <c r="G60" s="166"/>
      <c r="H60" s="673"/>
      <c r="I60" s="166">
        <v>50000</v>
      </c>
      <c r="J60" s="684"/>
    </row>
    <row r="61" spans="1:10" s="658" customFormat="1" ht="93">
      <c r="A61" s="890"/>
      <c r="B61" s="893"/>
      <c r="C61" s="890"/>
      <c r="D61" s="902"/>
      <c r="E61" s="682" t="s">
        <v>1177</v>
      </c>
      <c r="F61" s="683"/>
      <c r="G61" s="166"/>
      <c r="H61" s="673"/>
      <c r="I61" s="166">
        <v>300000</v>
      </c>
      <c r="J61" s="684"/>
    </row>
    <row r="62" spans="1:10" s="658" customFormat="1" ht="15">
      <c r="A62" s="874" t="s">
        <v>781</v>
      </c>
      <c r="B62" s="875">
        <v>1090</v>
      </c>
      <c r="C62" s="874" t="s">
        <v>454</v>
      </c>
      <c r="D62" s="869" t="s">
        <v>187</v>
      </c>
      <c r="E62" s="685"/>
      <c r="F62" s="166"/>
      <c r="G62" s="686"/>
      <c r="H62" s="673"/>
      <c r="I62" s="674">
        <f>SUM(I63:I67)</f>
        <v>708000</v>
      </c>
      <c r="J62" s="675"/>
    </row>
    <row r="63" spans="1:10" s="658" customFormat="1" ht="78">
      <c r="A63" s="874"/>
      <c r="B63" s="875"/>
      <c r="C63" s="874"/>
      <c r="D63" s="869"/>
      <c r="E63" s="685" t="s">
        <v>1178</v>
      </c>
      <c r="F63" s="166"/>
      <c r="G63" s="686"/>
      <c r="H63" s="673"/>
      <c r="I63" s="166">
        <v>500000</v>
      </c>
      <c r="J63" s="675"/>
    </row>
    <row r="64" spans="1:10" s="658" customFormat="1" ht="15">
      <c r="A64" s="874"/>
      <c r="B64" s="875"/>
      <c r="C64" s="874"/>
      <c r="D64" s="869"/>
      <c r="E64" s="685" t="s">
        <v>1179</v>
      </c>
      <c r="F64" s="166"/>
      <c r="G64" s="686"/>
      <c r="H64" s="673"/>
      <c r="I64" s="166">
        <v>10000</v>
      </c>
      <c r="J64" s="675"/>
    </row>
    <row r="65" spans="1:10" s="658" customFormat="1" ht="15">
      <c r="A65" s="874"/>
      <c r="B65" s="875"/>
      <c r="C65" s="874"/>
      <c r="D65" s="869"/>
      <c r="E65" s="685" t="s">
        <v>1180</v>
      </c>
      <c r="F65" s="166"/>
      <c r="G65" s="686"/>
      <c r="H65" s="673"/>
      <c r="I65" s="166">
        <v>8500</v>
      </c>
      <c r="J65" s="675"/>
    </row>
    <row r="66" spans="1:10" s="658" customFormat="1" ht="15">
      <c r="A66" s="874"/>
      <c r="B66" s="875"/>
      <c r="C66" s="874"/>
      <c r="D66" s="869"/>
      <c r="E66" s="687" t="s">
        <v>1181</v>
      </c>
      <c r="F66" s="688"/>
      <c r="G66" s="686"/>
      <c r="H66" s="689"/>
      <c r="I66" s="686">
        <v>8000</v>
      </c>
      <c r="J66" s="684"/>
    </row>
    <row r="67" spans="1:10" s="658" customFormat="1" ht="15">
      <c r="A67" s="874"/>
      <c r="B67" s="875"/>
      <c r="C67" s="874"/>
      <c r="D67" s="869"/>
      <c r="E67" s="687" t="s">
        <v>1182</v>
      </c>
      <c r="F67" s="688"/>
      <c r="G67" s="686"/>
      <c r="H67" s="689"/>
      <c r="I67" s="686">
        <v>181500</v>
      </c>
      <c r="J67" s="684"/>
    </row>
    <row r="68" spans="1:10" s="658" customFormat="1" ht="15">
      <c r="A68" s="874" t="s">
        <v>780</v>
      </c>
      <c r="B68" s="875">
        <v>1100</v>
      </c>
      <c r="C68" s="874" t="s">
        <v>454</v>
      </c>
      <c r="D68" s="869" t="s">
        <v>188</v>
      </c>
      <c r="E68" s="685"/>
      <c r="F68" s="166"/>
      <c r="G68" s="686"/>
      <c r="H68" s="673"/>
      <c r="I68" s="674">
        <f>SUM(I69:I74)</f>
        <v>1000000</v>
      </c>
      <c r="J68" s="675"/>
    </row>
    <row r="69" spans="1:10" s="658" customFormat="1" ht="30.75">
      <c r="A69" s="874"/>
      <c r="B69" s="875"/>
      <c r="C69" s="874"/>
      <c r="D69" s="869"/>
      <c r="E69" s="690" t="s">
        <v>1183</v>
      </c>
      <c r="F69" s="688"/>
      <c r="G69" s="686"/>
      <c r="H69" s="689"/>
      <c r="I69" s="686">
        <v>200000</v>
      </c>
      <c r="J69" s="684"/>
    </row>
    <row r="70" spans="1:10" s="658" customFormat="1" ht="15">
      <c r="A70" s="874"/>
      <c r="B70" s="875"/>
      <c r="C70" s="874"/>
      <c r="D70" s="869"/>
      <c r="E70" s="690" t="s">
        <v>1184</v>
      </c>
      <c r="F70" s="688"/>
      <c r="G70" s="686"/>
      <c r="H70" s="689"/>
      <c r="I70" s="686">
        <v>200000</v>
      </c>
      <c r="J70" s="684"/>
    </row>
    <row r="71" spans="1:10" s="658" customFormat="1" ht="15">
      <c r="A71" s="874"/>
      <c r="B71" s="875"/>
      <c r="C71" s="874"/>
      <c r="D71" s="869"/>
      <c r="E71" s="690" t="s">
        <v>1185</v>
      </c>
      <c r="F71" s="688"/>
      <c r="G71" s="686"/>
      <c r="H71" s="689"/>
      <c r="I71" s="686">
        <v>200000</v>
      </c>
      <c r="J71" s="684"/>
    </row>
    <row r="72" spans="1:10" s="658" customFormat="1" ht="15">
      <c r="A72" s="874"/>
      <c r="B72" s="875"/>
      <c r="C72" s="874"/>
      <c r="D72" s="869"/>
      <c r="E72" s="690" t="s">
        <v>1186</v>
      </c>
      <c r="F72" s="688"/>
      <c r="G72" s="686"/>
      <c r="H72" s="689"/>
      <c r="I72" s="686">
        <v>200000</v>
      </c>
      <c r="J72" s="684"/>
    </row>
    <row r="73" spans="1:10" s="658" customFormat="1" ht="15">
      <c r="A73" s="874"/>
      <c r="B73" s="875"/>
      <c r="C73" s="874"/>
      <c r="D73" s="869"/>
      <c r="E73" s="690" t="s">
        <v>1187</v>
      </c>
      <c r="F73" s="688"/>
      <c r="G73" s="686"/>
      <c r="H73" s="689"/>
      <c r="I73" s="686">
        <v>200000</v>
      </c>
      <c r="J73" s="684"/>
    </row>
    <row r="74" spans="1:10" s="658" customFormat="1" ht="15" hidden="1">
      <c r="A74" s="874"/>
      <c r="B74" s="875"/>
      <c r="C74" s="874"/>
      <c r="D74" s="869"/>
      <c r="E74" s="682"/>
      <c r="F74" s="688"/>
      <c r="G74" s="686"/>
      <c r="H74" s="689"/>
      <c r="I74" s="686"/>
      <c r="J74" s="684"/>
    </row>
    <row r="75" spans="1:10" s="658" customFormat="1" ht="15">
      <c r="A75" s="874" t="s">
        <v>792</v>
      </c>
      <c r="B75" s="875">
        <v>1110</v>
      </c>
      <c r="C75" s="874" t="s">
        <v>455</v>
      </c>
      <c r="D75" s="870" t="s">
        <v>1188</v>
      </c>
      <c r="E75" s="672"/>
      <c r="F75" s="691"/>
      <c r="G75" s="686"/>
      <c r="H75" s="692"/>
      <c r="I75" s="693">
        <f>SUM(I76:I77)</f>
        <v>11016</v>
      </c>
      <c r="J75" s="694"/>
    </row>
    <row r="76" spans="1:10" s="658" customFormat="1" ht="108.75">
      <c r="A76" s="874"/>
      <c r="B76" s="875"/>
      <c r="C76" s="874"/>
      <c r="D76" s="870"/>
      <c r="E76" s="672" t="s">
        <v>1189</v>
      </c>
      <c r="F76" s="166"/>
      <c r="G76" s="686"/>
      <c r="H76" s="673"/>
      <c r="I76" s="166">
        <v>11016</v>
      </c>
      <c r="J76" s="675"/>
    </row>
    <row r="77" spans="1:10" s="658" customFormat="1" ht="15" hidden="1">
      <c r="A77" s="874"/>
      <c r="B77" s="875"/>
      <c r="C77" s="874"/>
      <c r="D77" s="870"/>
      <c r="E77" s="672"/>
      <c r="F77" s="166"/>
      <c r="G77" s="686"/>
      <c r="H77" s="673"/>
      <c r="I77" s="674"/>
      <c r="J77" s="675"/>
    </row>
    <row r="78" spans="1:10" s="658" customFormat="1" ht="15">
      <c r="A78" s="874" t="s">
        <v>738</v>
      </c>
      <c r="B78" s="875">
        <v>1161</v>
      </c>
      <c r="C78" s="874" t="s">
        <v>346</v>
      </c>
      <c r="D78" s="905" t="s">
        <v>740</v>
      </c>
      <c r="E78" s="672"/>
      <c r="F78" s="166"/>
      <c r="G78" s="686"/>
      <c r="H78" s="673"/>
      <c r="I78" s="674">
        <f>SUM(I79:I80)</f>
        <v>8500000</v>
      </c>
      <c r="J78" s="675"/>
    </row>
    <row r="79" spans="1:10" s="658" customFormat="1" ht="33" customHeight="1">
      <c r="A79" s="874"/>
      <c r="B79" s="875"/>
      <c r="C79" s="874"/>
      <c r="D79" s="905"/>
      <c r="E79" s="687" t="s">
        <v>1190</v>
      </c>
      <c r="F79" s="688"/>
      <c r="G79" s="686"/>
      <c r="H79" s="689"/>
      <c r="I79" s="695">
        <v>1000000</v>
      </c>
      <c r="J79" s="684"/>
    </row>
    <row r="80" spans="1:10" s="658" customFormat="1" ht="30.75">
      <c r="A80" s="874"/>
      <c r="B80" s="875"/>
      <c r="C80" s="874"/>
      <c r="D80" s="905"/>
      <c r="E80" s="672" t="s">
        <v>1190</v>
      </c>
      <c r="F80" s="696"/>
      <c r="G80" s="686"/>
      <c r="H80" s="697"/>
      <c r="I80" s="686">
        <v>7500000</v>
      </c>
      <c r="J80" s="684"/>
    </row>
    <row r="81" spans="1:10" s="658" customFormat="1" ht="39" customHeight="1" hidden="1">
      <c r="A81" s="874" t="s">
        <v>16</v>
      </c>
      <c r="B81" s="875">
        <v>1170</v>
      </c>
      <c r="C81" s="874" t="s">
        <v>346</v>
      </c>
      <c r="D81" s="869" t="s">
        <v>17</v>
      </c>
      <c r="E81" s="685"/>
      <c r="F81" s="166"/>
      <c r="G81" s="686"/>
      <c r="H81" s="673"/>
      <c r="I81" s="674">
        <f>I82</f>
        <v>0</v>
      </c>
      <c r="J81" s="675"/>
    </row>
    <row r="82" spans="1:10" s="658" customFormat="1" ht="15" hidden="1">
      <c r="A82" s="874"/>
      <c r="B82" s="875"/>
      <c r="C82" s="874"/>
      <c r="D82" s="869"/>
      <c r="E82" s="685"/>
      <c r="F82" s="166"/>
      <c r="G82" s="686"/>
      <c r="H82" s="673"/>
      <c r="I82" s="674"/>
      <c r="J82" s="675"/>
    </row>
    <row r="83" spans="1:10" s="658" customFormat="1" ht="15" hidden="1">
      <c r="A83" s="874" t="s">
        <v>729</v>
      </c>
      <c r="B83" s="875">
        <v>3241</v>
      </c>
      <c r="C83" s="874" t="s">
        <v>824</v>
      </c>
      <c r="D83" s="869" t="s">
        <v>731</v>
      </c>
      <c r="E83" s="685"/>
      <c r="F83" s="166"/>
      <c r="G83" s="686"/>
      <c r="H83" s="673"/>
      <c r="I83" s="674">
        <f>I84</f>
        <v>0</v>
      </c>
      <c r="J83" s="675"/>
    </row>
    <row r="84" spans="1:10" s="658" customFormat="1" ht="15" hidden="1">
      <c r="A84" s="874"/>
      <c r="B84" s="875"/>
      <c r="C84" s="874"/>
      <c r="D84" s="869"/>
      <c r="E84" s="685"/>
      <c r="F84" s="166"/>
      <c r="G84" s="686"/>
      <c r="H84" s="673"/>
      <c r="I84" s="674"/>
      <c r="J84" s="675"/>
    </row>
    <row r="85" spans="1:10" s="658" customFormat="1" ht="15">
      <c r="A85" s="870" t="s">
        <v>424</v>
      </c>
      <c r="B85" s="870" t="s">
        <v>1191</v>
      </c>
      <c r="C85" s="870" t="s">
        <v>720</v>
      </c>
      <c r="D85" s="869" t="s">
        <v>421</v>
      </c>
      <c r="E85" s="685"/>
      <c r="F85" s="166"/>
      <c r="G85" s="686"/>
      <c r="H85" s="673"/>
      <c r="I85" s="674">
        <f>I86</f>
        <v>400000</v>
      </c>
      <c r="J85" s="675"/>
    </row>
    <row r="86" spans="1:10" s="658" customFormat="1" ht="30.75">
      <c r="A86" s="870"/>
      <c r="B86" s="870"/>
      <c r="C86" s="870"/>
      <c r="D86" s="869"/>
      <c r="E86" s="685" t="s">
        <v>1192</v>
      </c>
      <c r="F86" s="683"/>
      <c r="G86" s="166"/>
      <c r="H86" s="673"/>
      <c r="I86" s="166">
        <v>400000</v>
      </c>
      <c r="J86" s="684"/>
    </row>
    <row r="87" spans="1:10" s="658" customFormat="1" ht="15" hidden="1">
      <c r="A87" s="870" t="s">
        <v>423</v>
      </c>
      <c r="B87" s="870" t="s">
        <v>1193</v>
      </c>
      <c r="C87" s="870" t="s">
        <v>720</v>
      </c>
      <c r="D87" s="869" t="s">
        <v>1194</v>
      </c>
      <c r="E87" s="685"/>
      <c r="F87" s="166"/>
      <c r="G87" s="686"/>
      <c r="H87" s="673"/>
      <c r="I87" s="674">
        <f>I88</f>
        <v>0</v>
      </c>
      <c r="J87" s="675"/>
    </row>
    <row r="88" spans="1:10" s="658" customFormat="1" ht="30.75" hidden="1">
      <c r="A88" s="870"/>
      <c r="B88" s="870"/>
      <c r="C88" s="870"/>
      <c r="D88" s="869"/>
      <c r="E88" s="685" t="s">
        <v>1195</v>
      </c>
      <c r="F88" s="683"/>
      <c r="G88" s="166"/>
      <c r="H88" s="673"/>
      <c r="I88" s="166"/>
      <c r="J88" s="684"/>
    </row>
    <row r="89" spans="1:10" s="658" customFormat="1" ht="15">
      <c r="A89" s="870" t="s">
        <v>735</v>
      </c>
      <c r="B89" s="870" t="s">
        <v>744</v>
      </c>
      <c r="C89" s="870" t="s">
        <v>723</v>
      </c>
      <c r="D89" s="869" t="s">
        <v>737</v>
      </c>
      <c r="E89" s="685"/>
      <c r="F89" s="166"/>
      <c r="G89" s="686"/>
      <c r="H89" s="673"/>
      <c r="I89" s="674">
        <f>I90</f>
        <v>2308000</v>
      </c>
      <c r="J89" s="675"/>
    </row>
    <row r="90" spans="1:10" s="658" customFormat="1" ht="15">
      <c r="A90" s="870"/>
      <c r="B90" s="870"/>
      <c r="C90" s="870"/>
      <c r="D90" s="869"/>
      <c r="E90" s="685" t="s">
        <v>1196</v>
      </c>
      <c r="F90" s="683"/>
      <c r="G90" s="166"/>
      <c r="H90" s="673"/>
      <c r="I90" s="166">
        <v>2308000</v>
      </c>
      <c r="J90" s="675"/>
    </row>
    <row r="91" spans="1:10" s="658" customFormat="1" ht="15">
      <c r="A91" s="874" t="s">
        <v>769</v>
      </c>
      <c r="B91" s="875">
        <v>5031</v>
      </c>
      <c r="C91" s="874" t="s">
        <v>724</v>
      </c>
      <c r="D91" s="868" t="s">
        <v>526</v>
      </c>
      <c r="E91" s="685"/>
      <c r="F91" s="166"/>
      <c r="G91" s="686"/>
      <c r="H91" s="673"/>
      <c r="I91" s="674">
        <f>SUM(I92:I118)</f>
        <v>687614</v>
      </c>
      <c r="J91" s="675"/>
    </row>
    <row r="92" spans="1:10" s="658" customFormat="1" ht="15" hidden="1">
      <c r="A92" s="874"/>
      <c r="B92" s="875"/>
      <c r="C92" s="874"/>
      <c r="D92" s="868"/>
      <c r="E92" s="698" t="s">
        <v>1197</v>
      </c>
      <c r="F92" s="683"/>
      <c r="G92" s="166"/>
      <c r="H92" s="673"/>
      <c r="I92" s="166"/>
      <c r="J92" s="675"/>
    </row>
    <row r="93" spans="1:10" s="658" customFormat="1" ht="46.5">
      <c r="A93" s="874"/>
      <c r="B93" s="875"/>
      <c r="C93" s="874"/>
      <c r="D93" s="868"/>
      <c r="E93" s="685" t="s">
        <v>1198</v>
      </c>
      <c r="F93" s="683"/>
      <c r="G93" s="166"/>
      <c r="H93" s="673"/>
      <c r="I93" s="166">
        <v>617614</v>
      </c>
      <c r="J93" s="684"/>
    </row>
    <row r="94" spans="1:10" s="658" customFormat="1" ht="15" hidden="1">
      <c r="A94" s="874"/>
      <c r="B94" s="875"/>
      <c r="C94" s="874"/>
      <c r="D94" s="868"/>
      <c r="E94" s="682" t="s">
        <v>1199</v>
      </c>
      <c r="F94" s="683"/>
      <c r="G94" s="166"/>
      <c r="H94" s="673"/>
      <c r="I94" s="166"/>
      <c r="J94" s="684"/>
    </row>
    <row r="95" spans="1:10" s="658" customFormat="1" ht="15" hidden="1">
      <c r="A95" s="874"/>
      <c r="B95" s="875"/>
      <c r="C95" s="874"/>
      <c r="D95" s="868"/>
      <c r="E95" s="682" t="s">
        <v>1200</v>
      </c>
      <c r="F95" s="683"/>
      <c r="G95" s="166"/>
      <c r="H95" s="673"/>
      <c r="I95" s="166"/>
      <c r="J95" s="684"/>
    </row>
    <row r="96" spans="1:10" s="658" customFormat="1" ht="15" hidden="1">
      <c r="A96" s="874"/>
      <c r="B96" s="875"/>
      <c r="C96" s="874"/>
      <c r="D96" s="868"/>
      <c r="E96" s="685" t="s">
        <v>1201</v>
      </c>
      <c r="F96" s="683"/>
      <c r="G96" s="166"/>
      <c r="H96" s="673"/>
      <c r="I96" s="166"/>
      <c r="J96" s="684"/>
    </row>
    <row r="97" spans="1:10" s="658" customFormat="1" ht="40.5" customHeight="1" hidden="1">
      <c r="A97" s="874"/>
      <c r="B97" s="875"/>
      <c r="C97" s="874"/>
      <c r="D97" s="868"/>
      <c r="E97" s="685" t="s">
        <v>1202</v>
      </c>
      <c r="F97" s="683"/>
      <c r="G97" s="166"/>
      <c r="H97" s="673"/>
      <c r="I97" s="166"/>
      <c r="J97" s="684"/>
    </row>
    <row r="98" spans="1:10" s="658" customFormat="1" ht="30.75">
      <c r="A98" s="874"/>
      <c r="B98" s="875"/>
      <c r="C98" s="874"/>
      <c r="D98" s="868"/>
      <c r="E98" s="685" t="s">
        <v>1203</v>
      </c>
      <c r="F98" s="683"/>
      <c r="G98" s="166"/>
      <c r="H98" s="673"/>
      <c r="I98" s="166">
        <v>70000</v>
      </c>
      <c r="J98" s="684"/>
    </row>
    <row r="99" spans="1:10" s="658" customFormat="1" ht="30.75" hidden="1">
      <c r="A99" s="874"/>
      <c r="B99" s="875"/>
      <c r="C99" s="874"/>
      <c r="D99" s="868"/>
      <c r="E99" s="682" t="s">
        <v>1204</v>
      </c>
      <c r="F99" s="683"/>
      <c r="G99" s="166"/>
      <c r="H99" s="673"/>
      <c r="I99" s="166"/>
      <c r="J99" s="684"/>
    </row>
    <row r="100" spans="1:10" s="658" customFormat="1" ht="33" customHeight="1" hidden="1">
      <c r="A100" s="874"/>
      <c r="B100" s="875"/>
      <c r="C100" s="874"/>
      <c r="D100" s="868"/>
      <c r="E100" s="685" t="s">
        <v>1205</v>
      </c>
      <c r="F100" s="683"/>
      <c r="G100" s="166"/>
      <c r="H100" s="673"/>
      <c r="I100" s="166"/>
      <c r="J100" s="684"/>
    </row>
    <row r="101" spans="1:10" s="658" customFormat="1" ht="30.75" hidden="1">
      <c r="A101" s="874"/>
      <c r="B101" s="875"/>
      <c r="C101" s="874"/>
      <c r="D101" s="868"/>
      <c r="E101" s="682" t="s">
        <v>1206</v>
      </c>
      <c r="F101" s="683"/>
      <c r="G101" s="166"/>
      <c r="H101" s="673"/>
      <c r="I101" s="166"/>
      <c r="J101" s="684"/>
    </row>
    <row r="102" spans="1:10" s="658" customFormat="1" ht="15" hidden="1">
      <c r="A102" s="874"/>
      <c r="B102" s="875"/>
      <c r="C102" s="874"/>
      <c r="D102" s="868"/>
      <c r="E102" s="682" t="s">
        <v>1207</v>
      </c>
      <c r="F102" s="683"/>
      <c r="G102" s="166"/>
      <c r="H102" s="673"/>
      <c r="I102" s="166"/>
      <c r="J102" s="684"/>
    </row>
    <row r="103" spans="1:10" s="658" customFormat="1" ht="15" hidden="1">
      <c r="A103" s="874"/>
      <c r="B103" s="875"/>
      <c r="C103" s="874"/>
      <c r="D103" s="868"/>
      <c r="E103" s="682" t="s">
        <v>1208</v>
      </c>
      <c r="F103" s="683"/>
      <c r="G103" s="166"/>
      <c r="H103" s="673"/>
      <c r="I103" s="166"/>
      <c r="J103" s="684"/>
    </row>
    <row r="104" spans="1:10" s="658" customFormat="1" ht="30.75" hidden="1">
      <c r="A104" s="874"/>
      <c r="B104" s="875"/>
      <c r="C104" s="874"/>
      <c r="D104" s="868"/>
      <c r="E104" s="682" t="s">
        <v>1209</v>
      </c>
      <c r="F104" s="683"/>
      <c r="G104" s="166"/>
      <c r="H104" s="673"/>
      <c r="I104" s="166"/>
      <c r="J104" s="684"/>
    </row>
    <row r="105" spans="1:10" s="658" customFormat="1" ht="15" hidden="1">
      <c r="A105" s="874"/>
      <c r="B105" s="875"/>
      <c r="C105" s="874"/>
      <c r="D105" s="868"/>
      <c r="E105" s="682" t="s">
        <v>1210</v>
      </c>
      <c r="F105" s="683"/>
      <c r="G105" s="166"/>
      <c r="H105" s="673"/>
      <c r="I105" s="166"/>
      <c r="J105" s="684"/>
    </row>
    <row r="106" spans="1:10" s="658" customFormat="1" ht="30.75" hidden="1">
      <c r="A106" s="874"/>
      <c r="B106" s="875"/>
      <c r="C106" s="874"/>
      <c r="D106" s="868"/>
      <c r="E106" s="682" t="s">
        <v>1211</v>
      </c>
      <c r="F106" s="683"/>
      <c r="G106" s="166"/>
      <c r="H106" s="673"/>
      <c r="I106" s="166"/>
      <c r="J106" s="684"/>
    </row>
    <row r="107" spans="1:10" s="658" customFormat="1" ht="15" hidden="1">
      <c r="A107" s="874"/>
      <c r="B107" s="875"/>
      <c r="C107" s="874"/>
      <c r="D107" s="868"/>
      <c r="E107" s="682" t="s">
        <v>1212</v>
      </c>
      <c r="F107" s="683"/>
      <c r="G107" s="166"/>
      <c r="H107" s="673"/>
      <c r="I107" s="166"/>
      <c r="J107" s="684"/>
    </row>
    <row r="108" spans="1:10" s="658" customFormat="1" ht="15" hidden="1">
      <c r="A108" s="874"/>
      <c r="B108" s="875"/>
      <c r="C108" s="874"/>
      <c r="D108" s="868"/>
      <c r="E108" s="682" t="s">
        <v>1213</v>
      </c>
      <c r="F108" s="683"/>
      <c r="G108" s="166"/>
      <c r="H108" s="673"/>
      <c r="I108" s="166"/>
      <c r="J108" s="684"/>
    </row>
    <row r="109" spans="1:10" s="658" customFormat="1" ht="15" hidden="1">
      <c r="A109" s="874"/>
      <c r="B109" s="875"/>
      <c r="C109" s="874"/>
      <c r="D109" s="868"/>
      <c r="E109" s="682" t="s">
        <v>1214</v>
      </c>
      <c r="F109" s="683"/>
      <c r="G109" s="166"/>
      <c r="H109" s="673"/>
      <c r="I109" s="166"/>
      <c r="J109" s="684"/>
    </row>
    <row r="110" spans="1:10" s="658" customFormat="1" ht="15" hidden="1">
      <c r="A110" s="874"/>
      <c r="B110" s="875"/>
      <c r="C110" s="874"/>
      <c r="D110" s="868"/>
      <c r="E110" s="682" t="s">
        <v>1215</v>
      </c>
      <c r="F110" s="683"/>
      <c r="G110" s="166"/>
      <c r="H110" s="673"/>
      <c r="I110" s="166"/>
      <c r="J110" s="684"/>
    </row>
    <row r="111" spans="1:10" s="658" customFormat="1" ht="30.75" hidden="1">
      <c r="A111" s="874"/>
      <c r="B111" s="875"/>
      <c r="C111" s="874"/>
      <c r="D111" s="868"/>
      <c r="E111" s="682" t="s">
        <v>1216</v>
      </c>
      <c r="F111" s="683"/>
      <c r="G111" s="166"/>
      <c r="H111" s="673"/>
      <c r="I111" s="166"/>
      <c r="J111" s="684"/>
    </row>
    <row r="112" spans="1:10" s="658" customFormat="1" ht="15" hidden="1">
      <c r="A112" s="874"/>
      <c r="B112" s="875"/>
      <c r="C112" s="874"/>
      <c r="D112" s="868"/>
      <c r="E112" s="682" t="s">
        <v>1217</v>
      </c>
      <c r="F112" s="683"/>
      <c r="G112" s="166"/>
      <c r="H112" s="673"/>
      <c r="I112" s="166"/>
      <c r="J112" s="684"/>
    </row>
    <row r="113" spans="1:10" s="658" customFormat="1" ht="30.75" hidden="1">
      <c r="A113" s="874"/>
      <c r="B113" s="875"/>
      <c r="C113" s="874"/>
      <c r="D113" s="868"/>
      <c r="E113" s="682" t="s">
        <v>1218</v>
      </c>
      <c r="F113" s="683"/>
      <c r="G113" s="166"/>
      <c r="H113" s="673"/>
      <c r="I113" s="166"/>
      <c r="J113" s="684"/>
    </row>
    <row r="114" spans="1:10" s="658" customFormat="1" ht="30.75" hidden="1">
      <c r="A114" s="874"/>
      <c r="B114" s="875"/>
      <c r="C114" s="874"/>
      <c r="D114" s="868"/>
      <c r="E114" s="682" t="s">
        <v>1219</v>
      </c>
      <c r="F114" s="683"/>
      <c r="G114" s="166"/>
      <c r="H114" s="673"/>
      <c r="I114" s="166"/>
      <c r="J114" s="684"/>
    </row>
    <row r="115" spans="1:10" s="658" customFormat="1" ht="30.75" hidden="1">
      <c r="A115" s="874"/>
      <c r="B115" s="875"/>
      <c r="C115" s="874"/>
      <c r="D115" s="868"/>
      <c r="E115" s="682" t="s">
        <v>1220</v>
      </c>
      <c r="F115" s="683"/>
      <c r="G115" s="166"/>
      <c r="H115" s="673"/>
      <c r="I115" s="166"/>
      <c r="J115" s="684"/>
    </row>
    <row r="116" spans="1:10" s="658" customFormat="1" ht="30.75" hidden="1">
      <c r="A116" s="874"/>
      <c r="B116" s="875"/>
      <c r="C116" s="874"/>
      <c r="D116" s="868"/>
      <c r="E116" s="682" t="s">
        <v>1221</v>
      </c>
      <c r="F116" s="683"/>
      <c r="G116" s="166"/>
      <c r="H116" s="673"/>
      <c r="I116" s="166"/>
      <c r="J116" s="684"/>
    </row>
    <row r="117" spans="1:10" s="658" customFormat="1" ht="30.75" hidden="1">
      <c r="A117" s="874"/>
      <c r="B117" s="875"/>
      <c r="C117" s="874"/>
      <c r="D117" s="868"/>
      <c r="E117" s="682" t="s">
        <v>1222</v>
      </c>
      <c r="F117" s="683"/>
      <c r="G117" s="166"/>
      <c r="H117" s="673"/>
      <c r="I117" s="166"/>
      <c r="J117" s="684"/>
    </row>
    <row r="118" spans="1:10" s="658" customFormat="1" ht="15" hidden="1">
      <c r="A118" s="874"/>
      <c r="B118" s="875"/>
      <c r="C118" s="874"/>
      <c r="D118" s="868"/>
      <c r="E118" s="682" t="s">
        <v>1223</v>
      </c>
      <c r="F118" s="683"/>
      <c r="G118" s="166"/>
      <c r="H118" s="673"/>
      <c r="I118" s="166"/>
      <c r="J118" s="684"/>
    </row>
    <row r="119" spans="1:10" s="658" customFormat="1" ht="15" customHeight="1">
      <c r="A119" s="874" t="s">
        <v>236</v>
      </c>
      <c r="B119" s="875">
        <v>6082</v>
      </c>
      <c r="C119" s="874" t="s">
        <v>328</v>
      </c>
      <c r="D119" s="868" t="s">
        <v>237</v>
      </c>
      <c r="E119" s="682"/>
      <c r="F119" s="166"/>
      <c r="G119" s="686"/>
      <c r="H119" s="673"/>
      <c r="I119" s="674">
        <f>SUM(I120:I120)</f>
        <v>600000</v>
      </c>
      <c r="J119" s="675"/>
    </row>
    <row r="120" spans="1:10" s="658" customFormat="1" ht="78">
      <c r="A120" s="874"/>
      <c r="B120" s="875"/>
      <c r="C120" s="874"/>
      <c r="D120" s="868"/>
      <c r="E120" s="682" t="s">
        <v>1224</v>
      </c>
      <c r="F120" s="166"/>
      <c r="G120" s="686"/>
      <c r="H120" s="673"/>
      <c r="I120" s="166">
        <v>600000</v>
      </c>
      <c r="J120" s="675"/>
    </row>
    <row r="121" spans="1:10" s="658" customFormat="1" ht="15">
      <c r="A121" s="880" t="s">
        <v>757</v>
      </c>
      <c r="B121" s="880" t="s">
        <v>675</v>
      </c>
      <c r="C121" s="880" t="s">
        <v>758</v>
      </c>
      <c r="D121" s="882" t="s">
        <v>759</v>
      </c>
      <c r="E121" s="699"/>
      <c r="F121" s="166"/>
      <c r="G121" s="686"/>
      <c r="H121" s="673"/>
      <c r="I121" s="674">
        <f>SUM(I122:I272)</f>
        <v>75244059.36</v>
      </c>
      <c r="J121" s="675"/>
    </row>
    <row r="122" spans="1:11" s="658" customFormat="1" ht="15">
      <c r="A122" s="881"/>
      <c r="B122" s="881"/>
      <c r="C122" s="881"/>
      <c r="D122" s="883"/>
      <c r="E122" s="685" t="s">
        <v>1225</v>
      </c>
      <c r="F122" s="683">
        <v>2020</v>
      </c>
      <c r="G122" s="166">
        <v>200000</v>
      </c>
      <c r="H122" s="673">
        <v>0</v>
      </c>
      <c r="I122" s="166">
        <v>200000</v>
      </c>
      <c r="J122" s="675">
        <v>100</v>
      </c>
      <c r="K122" s="700"/>
    </row>
    <row r="123" spans="1:11" s="658" customFormat="1" ht="30.75">
      <c r="A123" s="881"/>
      <c r="B123" s="881"/>
      <c r="C123" s="881"/>
      <c r="D123" s="883"/>
      <c r="E123" s="685" t="s">
        <v>1226</v>
      </c>
      <c r="F123" s="683">
        <v>2020</v>
      </c>
      <c r="G123" s="166">
        <v>70000</v>
      </c>
      <c r="H123" s="673">
        <v>0</v>
      </c>
      <c r="I123" s="166">
        <v>70000</v>
      </c>
      <c r="J123" s="675">
        <v>100</v>
      </c>
      <c r="K123" s="700"/>
    </row>
    <row r="124" spans="1:11" s="658" customFormat="1" ht="15">
      <c r="A124" s="881"/>
      <c r="B124" s="881"/>
      <c r="C124" s="881"/>
      <c r="D124" s="883"/>
      <c r="E124" s="682" t="s">
        <v>1227</v>
      </c>
      <c r="F124" s="683">
        <v>2020</v>
      </c>
      <c r="G124" s="166">
        <v>793612.3</v>
      </c>
      <c r="H124" s="673">
        <v>0</v>
      </c>
      <c r="I124" s="166">
        <v>793612.3</v>
      </c>
      <c r="J124" s="675">
        <v>100</v>
      </c>
      <c r="K124" s="700"/>
    </row>
    <row r="125" spans="1:11" s="658" customFormat="1" ht="62.25">
      <c r="A125" s="881"/>
      <c r="B125" s="881"/>
      <c r="C125" s="881"/>
      <c r="D125" s="883"/>
      <c r="E125" s="682" t="s">
        <v>1228</v>
      </c>
      <c r="F125" s="683" t="s">
        <v>1229</v>
      </c>
      <c r="G125" s="166">
        <v>1000000</v>
      </c>
      <c r="H125" s="673">
        <v>40</v>
      </c>
      <c r="I125" s="166">
        <f>298529.4+306470.6</f>
        <v>605000</v>
      </c>
      <c r="J125" s="675">
        <v>100</v>
      </c>
      <c r="K125" s="700"/>
    </row>
    <row r="126" spans="1:11" s="658" customFormat="1" ht="15" hidden="1">
      <c r="A126" s="881"/>
      <c r="B126" s="881"/>
      <c r="C126" s="881"/>
      <c r="D126" s="883"/>
      <c r="E126" s="685" t="s">
        <v>1230</v>
      </c>
      <c r="F126" s="683">
        <v>2020</v>
      </c>
      <c r="G126" s="166">
        <v>300000</v>
      </c>
      <c r="H126" s="673">
        <v>0</v>
      </c>
      <c r="I126" s="166">
        <f>300000-300000</f>
        <v>0</v>
      </c>
      <c r="J126" s="675">
        <v>100</v>
      </c>
      <c r="K126" s="700"/>
    </row>
    <row r="127" spans="1:11" s="658" customFormat="1" ht="15" hidden="1">
      <c r="A127" s="881"/>
      <c r="B127" s="881"/>
      <c r="C127" s="881"/>
      <c r="D127" s="883"/>
      <c r="E127" s="685" t="s">
        <v>1231</v>
      </c>
      <c r="F127" s="683">
        <v>2020</v>
      </c>
      <c r="G127" s="166">
        <v>600000</v>
      </c>
      <c r="H127" s="673">
        <v>0</v>
      </c>
      <c r="I127" s="166">
        <f>600000-600000</f>
        <v>0</v>
      </c>
      <c r="J127" s="675">
        <v>100</v>
      </c>
      <c r="K127" s="700"/>
    </row>
    <row r="128" spans="1:11" s="658" customFormat="1" ht="15">
      <c r="A128" s="881"/>
      <c r="B128" s="881"/>
      <c r="C128" s="881"/>
      <c r="D128" s="883"/>
      <c r="E128" s="685" t="s">
        <v>1232</v>
      </c>
      <c r="F128" s="683" t="s">
        <v>1229</v>
      </c>
      <c r="G128" s="166">
        <v>3128890</v>
      </c>
      <c r="H128" s="673">
        <v>59</v>
      </c>
      <c r="I128" s="166">
        <v>1273381</v>
      </c>
      <c r="J128" s="675">
        <v>100</v>
      </c>
      <c r="K128" s="700"/>
    </row>
    <row r="129" spans="1:11" s="658" customFormat="1" ht="15" hidden="1">
      <c r="A129" s="881"/>
      <c r="B129" s="881"/>
      <c r="C129" s="881"/>
      <c r="D129" s="883"/>
      <c r="E129" s="685" t="s">
        <v>1233</v>
      </c>
      <c r="F129" s="683">
        <v>2020</v>
      </c>
      <c r="G129" s="166">
        <v>450000</v>
      </c>
      <c r="H129" s="673">
        <v>0</v>
      </c>
      <c r="I129" s="166">
        <f>450000-450000</f>
        <v>0</v>
      </c>
      <c r="J129" s="675">
        <v>100</v>
      </c>
      <c r="K129" s="700"/>
    </row>
    <row r="130" spans="1:11" s="658" customFormat="1" ht="15" hidden="1">
      <c r="A130" s="881"/>
      <c r="B130" s="881"/>
      <c r="C130" s="881"/>
      <c r="D130" s="883"/>
      <c r="E130" s="685" t="s">
        <v>1234</v>
      </c>
      <c r="F130" s="683">
        <v>2020</v>
      </c>
      <c r="G130" s="166">
        <v>250000</v>
      </c>
      <c r="H130" s="673">
        <v>0</v>
      </c>
      <c r="I130" s="166">
        <f>250000-250000</f>
        <v>0</v>
      </c>
      <c r="J130" s="675">
        <v>100</v>
      </c>
      <c r="K130" s="700"/>
    </row>
    <row r="131" spans="1:11" s="658" customFormat="1" ht="15">
      <c r="A131" s="881"/>
      <c r="B131" s="881"/>
      <c r="C131" s="881"/>
      <c r="D131" s="883"/>
      <c r="E131" s="682" t="s">
        <v>1235</v>
      </c>
      <c r="F131" s="683">
        <v>2020</v>
      </c>
      <c r="G131" s="166">
        <v>678702.96</v>
      </c>
      <c r="H131" s="673">
        <v>0</v>
      </c>
      <c r="I131" s="166">
        <v>678702.96</v>
      </c>
      <c r="J131" s="675">
        <v>100</v>
      </c>
      <c r="K131" s="700"/>
    </row>
    <row r="132" spans="1:11" s="658" customFormat="1" ht="15">
      <c r="A132" s="881"/>
      <c r="B132" s="881"/>
      <c r="C132" s="881"/>
      <c r="D132" s="883"/>
      <c r="E132" s="682" t="s">
        <v>1236</v>
      </c>
      <c r="F132" s="683" t="s">
        <v>1229</v>
      </c>
      <c r="G132" s="166">
        <v>3345000</v>
      </c>
      <c r="H132" s="673">
        <v>16</v>
      </c>
      <c r="I132" s="166">
        <f>2839220-100000</f>
        <v>2739220</v>
      </c>
      <c r="J132" s="675">
        <v>100</v>
      </c>
      <c r="K132" s="700"/>
    </row>
    <row r="133" spans="1:11" s="658" customFormat="1" ht="15">
      <c r="A133" s="881"/>
      <c r="B133" s="881"/>
      <c r="C133" s="881"/>
      <c r="D133" s="883"/>
      <c r="E133" s="682" t="s">
        <v>1237</v>
      </c>
      <c r="F133" s="683" t="s">
        <v>1229</v>
      </c>
      <c r="G133" s="166">
        <v>250000</v>
      </c>
      <c r="H133" s="673">
        <v>98</v>
      </c>
      <c r="I133" s="166">
        <v>3814</v>
      </c>
      <c r="J133" s="675">
        <v>100</v>
      </c>
      <c r="K133" s="700"/>
    </row>
    <row r="134" spans="1:11" s="658" customFormat="1" ht="30.75">
      <c r="A134" s="881"/>
      <c r="B134" s="881"/>
      <c r="C134" s="881"/>
      <c r="D134" s="883"/>
      <c r="E134" s="685" t="s">
        <v>1238</v>
      </c>
      <c r="F134" s="683" t="s">
        <v>1229</v>
      </c>
      <c r="G134" s="166">
        <v>1300000</v>
      </c>
      <c r="H134" s="673">
        <v>70</v>
      </c>
      <c r="I134" s="166">
        <v>394171</v>
      </c>
      <c r="J134" s="675">
        <v>100</v>
      </c>
      <c r="K134" s="700"/>
    </row>
    <row r="135" spans="1:11" s="658" customFormat="1" ht="15" hidden="1">
      <c r="A135" s="881"/>
      <c r="B135" s="881"/>
      <c r="C135" s="881"/>
      <c r="D135" s="883"/>
      <c r="E135" s="685" t="s">
        <v>1239</v>
      </c>
      <c r="F135" s="683">
        <v>2020</v>
      </c>
      <c r="G135" s="166">
        <v>1000000</v>
      </c>
      <c r="H135" s="673">
        <v>0</v>
      </c>
      <c r="I135" s="166">
        <f>1000000-1000000</f>
        <v>0</v>
      </c>
      <c r="J135" s="675">
        <v>100</v>
      </c>
      <c r="K135" s="700"/>
    </row>
    <row r="136" spans="1:11" s="658" customFormat="1" ht="15">
      <c r="A136" s="881"/>
      <c r="B136" s="881"/>
      <c r="C136" s="881"/>
      <c r="D136" s="883"/>
      <c r="E136" s="685" t="s">
        <v>1240</v>
      </c>
      <c r="F136" s="683">
        <v>2020</v>
      </c>
      <c r="G136" s="166">
        <v>80000</v>
      </c>
      <c r="H136" s="673">
        <v>0</v>
      </c>
      <c r="I136" s="701">
        <f>580000-500000</f>
        <v>80000</v>
      </c>
      <c r="J136" s="675">
        <v>100</v>
      </c>
      <c r="K136" s="700"/>
    </row>
    <row r="137" spans="1:11" s="658" customFormat="1" ht="15">
      <c r="A137" s="881"/>
      <c r="B137" s="881"/>
      <c r="C137" s="881"/>
      <c r="D137" s="883"/>
      <c r="E137" s="685" t="s">
        <v>1241</v>
      </c>
      <c r="F137" s="683" t="s">
        <v>1229</v>
      </c>
      <c r="G137" s="166">
        <v>500000</v>
      </c>
      <c r="H137" s="673">
        <v>99</v>
      </c>
      <c r="I137" s="166">
        <v>5570</v>
      </c>
      <c r="J137" s="675">
        <v>100</v>
      </c>
      <c r="K137" s="700"/>
    </row>
    <row r="138" spans="1:11" s="658" customFormat="1" ht="15">
      <c r="A138" s="881"/>
      <c r="B138" s="881"/>
      <c r="C138" s="881"/>
      <c r="D138" s="883"/>
      <c r="E138" s="685" t="s">
        <v>1242</v>
      </c>
      <c r="F138" s="683">
        <v>2020</v>
      </c>
      <c r="G138" s="166">
        <v>300000</v>
      </c>
      <c r="H138" s="673">
        <v>0</v>
      </c>
      <c r="I138" s="166">
        <v>300000</v>
      </c>
      <c r="J138" s="675">
        <v>100</v>
      </c>
      <c r="K138" s="700"/>
    </row>
    <row r="139" spans="1:11" s="658" customFormat="1" ht="30.75">
      <c r="A139" s="881"/>
      <c r="B139" s="881"/>
      <c r="C139" s="881"/>
      <c r="D139" s="883"/>
      <c r="E139" s="685" t="s">
        <v>1243</v>
      </c>
      <c r="F139" s="683" t="s">
        <v>1229</v>
      </c>
      <c r="G139" s="166">
        <v>460000</v>
      </c>
      <c r="H139" s="673">
        <v>98</v>
      </c>
      <c r="I139" s="166">
        <v>21610</v>
      </c>
      <c r="J139" s="675">
        <v>100</v>
      </c>
      <c r="K139" s="700"/>
    </row>
    <row r="140" spans="1:11" s="658" customFormat="1" ht="15" hidden="1">
      <c r="A140" s="881"/>
      <c r="B140" s="881"/>
      <c r="C140" s="881"/>
      <c r="D140" s="883"/>
      <c r="E140" s="685" t="s">
        <v>1244</v>
      </c>
      <c r="F140" s="683">
        <v>2020</v>
      </c>
      <c r="G140" s="166">
        <v>1200000</v>
      </c>
      <c r="H140" s="673">
        <v>0</v>
      </c>
      <c r="I140" s="166">
        <f>1200000-1200000</f>
        <v>0</v>
      </c>
      <c r="J140" s="675">
        <v>100</v>
      </c>
      <c r="K140" s="700"/>
    </row>
    <row r="141" spans="1:11" s="658" customFormat="1" ht="15">
      <c r="A141" s="881"/>
      <c r="B141" s="881"/>
      <c r="C141" s="881"/>
      <c r="D141" s="883"/>
      <c r="E141" s="685" t="s">
        <v>1245</v>
      </c>
      <c r="F141" s="683">
        <v>2020</v>
      </c>
      <c r="G141" s="166">
        <v>1490000</v>
      </c>
      <c r="H141" s="673">
        <v>0</v>
      </c>
      <c r="I141" s="166">
        <f>290000+1200000</f>
        <v>1490000</v>
      </c>
      <c r="J141" s="675">
        <v>100</v>
      </c>
      <c r="K141" s="700"/>
    </row>
    <row r="142" spans="1:11" s="658" customFormat="1" ht="30.75" hidden="1">
      <c r="A142" s="881"/>
      <c r="B142" s="881"/>
      <c r="C142" s="881"/>
      <c r="D142" s="883"/>
      <c r="E142" s="685" t="s">
        <v>1246</v>
      </c>
      <c r="F142" s="683">
        <v>2020</v>
      </c>
      <c r="G142" s="166">
        <v>300000</v>
      </c>
      <c r="H142" s="673">
        <v>0</v>
      </c>
      <c r="I142" s="166"/>
      <c r="J142" s="675">
        <v>100</v>
      </c>
      <c r="K142" s="700"/>
    </row>
    <row r="143" spans="1:11" s="658" customFormat="1" ht="30.75">
      <c r="A143" s="881"/>
      <c r="B143" s="881"/>
      <c r="C143" s="881"/>
      <c r="D143" s="883"/>
      <c r="E143" s="685" t="s">
        <v>1247</v>
      </c>
      <c r="F143" s="683">
        <v>2020</v>
      </c>
      <c r="G143" s="166">
        <v>500000</v>
      </c>
      <c r="H143" s="673">
        <v>0</v>
      </c>
      <c r="I143" s="166">
        <v>500000</v>
      </c>
      <c r="J143" s="675">
        <v>100</v>
      </c>
      <c r="K143" s="700"/>
    </row>
    <row r="144" spans="1:11" s="658" customFormat="1" ht="15" hidden="1">
      <c r="A144" s="881"/>
      <c r="B144" s="881"/>
      <c r="C144" s="881"/>
      <c r="D144" s="883"/>
      <c r="E144" s="685" t="s">
        <v>1248</v>
      </c>
      <c r="F144" s="683" t="s">
        <v>1229</v>
      </c>
      <c r="G144" s="166">
        <v>402930</v>
      </c>
      <c r="H144" s="673">
        <v>78</v>
      </c>
      <c r="I144" s="166"/>
      <c r="J144" s="675">
        <v>100</v>
      </c>
      <c r="K144" s="700"/>
    </row>
    <row r="145" spans="1:11" s="658" customFormat="1" ht="15" hidden="1">
      <c r="A145" s="881"/>
      <c r="B145" s="881"/>
      <c r="C145" s="881"/>
      <c r="D145" s="883"/>
      <c r="E145" s="685" t="s">
        <v>1249</v>
      </c>
      <c r="F145" s="683" t="s">
        <v>1229</v>
      </c>
      <c r="G145" s="166">
        <v>595720</v>
      </c>
      <c r="H145" s="673">
        <v>73</v>
      </c>
      <c r="I145" s="166"/>
      <c r="J145" s="675">
        <v>100</v>
      </c>
      <c r="K145" s="700"/>
    </row>
    <row r="146" spans="1:11" s="658" customFormat="1" ht="15">
      <c r="A146" s="881"/>
      <c r="B146" s="881"/>
      <c r="C146" s="881"/>
      <c r="D146" s="883"/>
      <c r="E146" s="685" t="s">
        <v>1250</v>
      </c>
      <c r="F146" s="683">
        <v>2020</v>
      </c>
      <c r="G146" s="166">
        <v>700000</v>
      </c>
      <c r="H146" s="673">
        <v>0</v>
      </c>
      <c r="I146" s="166">
        <v>700000</v>
      </c>
      <c r="J146" s="675">
        <v>100</v>
      </c>
      <c r="K146" s="700"/>
    </row>
    <row r="147" spans="1:11" s="658" customFormat="1" ht="15">
      <c r="A147" s="881"/>
      <c r="B147" s="881"/>
      <c r="C147" s="881"/>
      <c r="D147" s="883"/>
      <c r="E147" s="685" t="s">
        <v>1251</v>
      </c>
      <c r="F147" s="683">
        <v>2020</v>
      </c>
      <c r="G147" s="166">
        <v>896000</v>
      </c>
      <c r="H147" s="673">
        <v>0</v>
      </c>
      <c r="I147" s="166">
        <v>896000</v>
      </c>
      <c r="J147" s="675">
        <v>100</v>
      </c>
      <c r="K147" s="700"/>
    </row>
    <row r="148" spans="1:11" s="658" customFormat="1" ht="30.75">
      <c r="A148" s="881"/>
      <c r="B148" s="881"/>
      <c r="C148" s="881"/>
      <c r="D148" s="883"/>
      <c r="E148" s="672" t="s">
        <v>1252</v>
      </c>
      <c r="F148" s="683" t="s">
        <v>1229</v>
      </c>
      <c r="G148" s="166">
        <v>1400000</v>
      </c>
      <c r="H148" s="673">
        <v>90</v>
      </c>
      <c r="I148" s="166">
        <f>810000-670000</f>
        <v>140000</v>
      </c>
      <c r="J148" s="675">
        <v>100</v>
      </c>
      <c r="K148" s="700"/>
    </row>
    <row r="149" spans="1:11" s="658" customFormat="1" ht="30.75">
      <c r="A149" s="881"/>
      <c r="B149" s="881"/>
      <c r="C149" s="881"/>
      <c r="D149" s="883"/>
      <c r="E149" s="672" t="s">
        <v>1253</v>
      </c>
      <c r="F149" s="683" t="s">
        <v>1229</v>
      </c>
      <c r="G149" s="166">
        <v>200000</v>
      </c>
      <c r="H149" s="673">
        <v>62</v>
      </c>
      <c r="I149" s="701">
        <f>1310000-1000000+42000-152000</f>
        <v>200000</v>
      </c>
      <c r="J149" s="675">
        <v>100</v>
      </c>
      <c r="K149" s="700"/>
    </row>
    <row r="150" spans="1:11" s="658" customFormat="1" ht="15">
      <c r="A150" s="881"/>
      <c r="B150" s="881"/>
      <c r="C150" s="881"/>
      <c r="D150" s="883"/>
      <c r="E150" s="685" t="s">
        <v>1254</v>
      </c>
      <c r="F150" s="683" t="s">
        <v>1229</v>
      </c>
      <c r="G150" s="166">
        <v>579721</v>
      </c>
      <c r="H150" s="673">
        <v>96.8</v>
      </c>
      <c r="I150" s="166">
        <f>53517-35000</f>
        <v>18517</v>
      </c>
      <c r="J150" s="675">
        <v>100</v>
      </c>
      <c r="K150" s="700"/>
    </row>
    <row r="151" spans="1:11" s="658" customFormat="1" ht="15">
      <c r="A151" s="881"/>
      <c r="B151" s="881"/>
      <c r="C151" s="881"/>
      <c r="D151" s="883"/>
      <c r="E151" s="685" t="s">
        <v>1255</v>
      </c>
      <c r="F151" s="683" t="s">
        <v>1229</v>
      </c>
      <c r="G151" s="166">
        <v>300000</v>
      </c>
      <c r="H151" s="673">
        <v>88</v>
      </c>
      <c r="I151" s="166">
        <v>35220</v>
      </c>
      <c r="J151" s="675">
        <v>100</v>
      </c>
      <c r="K151" s="700"/>
    </row>
    <row r="152" spans="1:11" s="658" customFormat="1" ht="30.75">
      <c r="A152" s="881"/>
      <c r="B152" s="881"/>
      <c r="C152" s="881"/>
      <c r="D152" s="883"/>
      <c r="E152" s="685" t="s">
        <v>1256</v>
      </c>
      <c r="F152" s="683" t="s">
        <v>1229</v>
      </c>
      <c r="G152" s="166">
        <v>485000</v>
      </c>
      <c r="H152" s="673">
        <v>93</v>
      </c>
      <c r="I152" s="166">
        <v>35266</v>
      </c>
      <c r="J152" s="675">
        <v>100</v>
      </c>
      <c r="K152" s="700"/>
    </row>
    <row r="153" spans="1:11" s="658" customFormat="1" ht="15" hidden="1">
      <c r="A153" s="881"/>
      <c r="B153" s="881"/>
      <c r="C153" s="881"/>
      <c r="D153" s="883"/>
      <c r="E153" s="685" t="s">
        <v>1257</v>
      </c>
      <c r="F153" s="683">
        <v>2020</v>
      </c>
      <c r="G153" s="166"/>
      <c r="H153" s="673">
        <v>0</v>
      </c>
      <c r="I153" s="166"/>
      <c r="J153" s="675">
        <v>100</v>
      </c>
      <c r="K153" s="700"/>
    </row>
    <row r="154" spans="1:11" s="658" customFormat="1" ht="15" hidden="1">
      <c r="A154" s="881"/>
      <c r="B154" s="881"/>
      <c r="C154" s="881"/>
      <c r="D154" s="883"/>
      <c r="E154" s="685" t="s">
        <v>1258</v>
      </c>
      <c r="F154" s="683" t="s">
        <v>1229</v>
      </c>
      <c r="G154" s="166">
        <v>665000</v>
      </c>
      <c r="H154" s="673">
        <v>60</v>
      </c>
      <c r="I154" s="166">
        <f>300000-300000</f>
        <v>0</v>
      </c>
      <c r="J154" s="675">
        <v>100</v>
      </c>
      <c r="K154" s="700"/>
    </row>
    <row r="155" spans="1:11" s="658" customFormat="1" ht="30.75" hidden="1">
      <c r="A155" s="881"/>
      <c r="B155" s="881"/>
      <c r="C155" s="881"/>
      <c r="D155" s="883"/>
      <c r="E155" s="685" t="s">
        <v>1259</v>
      </c>
      <c r="F155" s="683" t="s">
        <v>1229</v>
      </c>
      <c r="G155" s="166"/>
      <c r="H155" s="673">
        <v>76</v>
      </c>
      <c r="I155" s="166"/>
      <c r="J155" s="675">
        <v>100</v>
      </c>
      <c r="K155" s="700"/>
    </row>
    <row r="156" spans="1:11" s="658" customFormat="1" ht="15">
      <c r="A156" s="881"/>
      <c r="B156" s="881"/>
      <c r="C156" s="881"/>
      <c r="D156" s="883"/>
      <c r="E156" s="682" t="s">
        <v>1260</v>
      </c>
      <c r="F156" s="683">
        <v>2020</v>
      </c>
      <c r="G156" s="166">
        <v>578000</v>
      </c>
      <c r="H156" s="673">
        <v>0</v>
      </c>
      <c r="I156" s="166">
        <v>578000</v>
      </c>
      <c r="J156" s="675">
        <v>100</v>
      </c>
      <c r="K156" s="700"/>
    </row>
    <row r="157" spans="1:11" s="658" customFormat="1" ht="15">
      <c r="A157" s="881"/>
      <c r="B157" s="881"/>
      <c r="C157" s="881"/>
      <c r="D157" s="883"/>
      <c r="E157" s="685" t="s">
        <v>1261</v>
      </c>
      <c r="F157" s="683">
        <v>2020</v>
      </c>
      <c r="G157" s="166">
        <v>100000</v>
      </c>
      <c r="H157" s="673">
        <v>0</v>
      </c>
      <c r="I157" s="166">
        <v>100000</v>
      </c>
      <c r="J157" s="675">
        <v>100</v>
      </c>
      <c r="K157" s="700"/>
    </row>
    <row r="158" spans="1:11" s="658" customFormat="1" ht="15">
      <c r="A158" s="881"/>
      <c r="B158" s="881"/>
      <c r="C158" s="881"/>
      <c r="D158" s="883"/>
      <c r="E158" s="685" t="s">
        <v>1262</v>
      </c>
      <c r="F158" s="683">
        <v>2020</v>
      </c>
      <c r="G158" s="166">
        <v>1200000</v>
      </c>
      <c r="H158" s="673">
        <v>0</v>
      </c>
      <c r="I158" s="166">
        <f>1450000-250000</f>
        <v>1200000</v>
      </c>
      <c r="J158" s="675">
        <v>100</v>
      </c>
      <c r="K158" s="700"/>
    </row>
    <row r="159" spans="1:11" s="658" customFormat="1" ht="15">
      <c r="A159" s="881"/>
      <c r="B159" s="881"/>
      <c r="C159" s="881"/>
      <c r="D159" s="883"/>
      <c r="E159" s="682" t="s">
        <v>1263</v>
      </c>
      <c r="F159" s="683" t="s">
        <v>1229</v>
      </c>
      <c r="G159" s="166">
        <v>1490000</v>
      </c>
      <c r="H159" s="673">
        <v>56</v>
      </c>
      <c r="I159" s="166">
        <v>659164.2</v>
      </c>
      <c r="J159" s="675">
        <v>100</v>
      </c>
      <c r="K159" s="700"/>
    </row>
    <row r="160" spans="1:11" s="658" customFormat="1" ht="62.25">
      <c r="A160" s="881"/>
      <c r="B160" s="881"/>
      <c r="C160" s="881"/>
      <c r="D160" s="883"/>
      <c r="E160" s="682" t="s">
        <v>1264</v>
      </c>
      <c r="F160" s="683" t="s">
        <v>1229</v>
      </c>
      <c r="G160" s="166">
        <v>1075000</v>
      </c>
      <c r="H160" s="673">
        <v>88</v>
      </c>
      <c r="I160" s="166">
        <f>123656.8+237575.2</f>
        <v>361232</v>
      </c>
      <c r="J160" s="675">
        <v>100</v>
      </c>
      <c r="K160" s="700"/>
    </row>
    <row r="161" spans="1:11" s="658" customFormat="1" ht="46.5">
      <c r="A161" s="881"/>
      <c r="B161" s="881"/>
      <c r="C161" s="881"/>
      <c r="D161" s="883"/>
      <c r="E161" s="685" t="s">
        <v>1265</v>
      </c>
      <c r="F161" s="683" t="s">
        <v>1266</v>
      </c>
      <c r="G161" s="166">
        <v>1150000</v>
      </c>
      <c r="H161" s="673">
        <v>0</v>
      </c>
      <c r="I161" s="166">
        <v>5000</v>
      </c>
      <c r="J161" s="675">
        <v>0.4</v>
      </c>
      <c r="K161" s="700"/>
    </row>
    <row r="162" spans="1:11" s="658" customFormat="1" ht="17.25" customHeight="1">
      <c r="A162" s="881"/>
      <c r="B162" s="881"/>
      <c r="C162" s="881"/>
      <c r="D162" s="883"/>
      <c r="E162" s="685" t="s">
        <v>1267</v>
      </c>
      <c r="F162" s="683">
        <v>2020</v>
      </c>
      <c r="G162" s="166">
        <v>1000000</v>
      </c>
      <c r="H162" s="673">
        <v>0</v>
      </c>
      <c r="I162" s="701">
        <f>1500000-500000</f>
        <v>1000000</v>
      </c>
      <c r="J162" s="675">
        <v>100</v>
      </c>
      <c r="K162" s="700"/>
    </row>
    <row r="163" spans="1:11" s="658" customFormat="1" ht="17.25" customHeight="1" hidden="1">
      <c r="A163" s="881"/>
      <c r="B163" s="881"/>
      <c r="C163" s="881"/>
      <c r="D163" s="883"/>
      <c r="E163" s="685" t="s">
        <v>1268</v>
      </c>
      <c r="F163" s="683">
        <v>2020</v>
      </c>
      <c r="G163" s="166">
        <v>1500000</v>
      </c>
      <c r="H163" s="673">
        <v>0</v>
      </c>
      <c r="I163" s="166">
        <f>1500000-1500000</f>
        <v>0</v>
      </c>
      <c r="J163" s="675">
        <v>100</v>
      </c>
      <c r="K163" s="700"/>
    </row>
    <row r="164" spans="1:11" s="658" customFormat="1" ht="15">
      <c r="A164" s="881"/>
      <c r="B164" s="881"/>
      <c r="C164" s="881"/>
      <c r="D164" s="883"/>
      <c r="E164" s="685" t="s">
        <v>1269</v>
      </c>
      <c r="F164" s="683">
        <v>2020</v>
      </c>
      <c r="G164" s="166">
        <v>150000</v>
      </c>
      <c r="H164" s="673">
        <v>0</v>
      </c>
      <c r="I164" s="166">
        <v>150000</v>
      </c>
      <c r="J164" s="675">
        <v>100</v>
      </c>
      <c r="K164" s="700"/>
    </row>
    <row r="165" spans="1:11" s="658" customFormat="1" ht="15">
      <c r="A165" s="881"/>
      <c r="B165" s="881"/>
      <c r="C165" s="881"/>
      <c r="D165" s="883"/>
      <c r="E165" s="685" t="s">
        <v>1270</v>
      </c>
      <c r="F165" s="683" t="s">
        <v>1229</v>
      </c>
      <c r="G165" s="166">
        <v>1490000</v>
      </c>
      <c r="H165" s="673">
        <v>55</v>
      </c>
      <c r="I165" s="166">
        <v>671072</v>
      </c>
      <c r="J165" s="675">
        <v>100</v>
      </c>
      <c r="K165" s="700"/>
    </row>
    <row r="166" spans="1:11" s="658" customFormat="1" ht="15">
      <c r="A166" s="881"/>
      <c r="B166" s="881"/>
      <c r="C166" s="881"/>
      <c r="D166" s="883"/>
      <c r="E166" s="685" t="s">
        <v>1271</v>
      </c>
      <c r="F166" s="683">
        <v>2020</v>
      </c>
      <c r="G166" s="166">
        <v>500000</v>
      </c>
      <c r="H166" s="673">
        <v>0</v>
      </c>
      <c r="I166" s="166">
        <v>500000</v>
      </c>
      <c r="J166" s="675">
        <v>100</v>
      </c>
      <c r="K166" s="700"/>
    </row>
    <row r="167" spans="1:11" s="658" customFormat="1" ht="15">
      <c r="A167" s="881"/>
      <c r="B167" s="881"/>
      <c r="C167" s="881"/>
      <c r="D167" s="883"/>
      <c r="E167" s="685" t="s">
        <v>1272</v>
      </c>
      <c r="F167" s="683">
        <v>2020</v>
      </c>
      <c r="G167" s="166">
        <v>1390000</v>
      </c>
      <c r="H167" s="673">
        <v>0</v>
      </c>
      <c r="I167" s="166">
        <v>1390000</v>
      </c>
      <c r="J167" s="675">
        <v>100</v>
      </c>
      <c r="K167" s="700"/>
    </row>
    <row r="168" spans="1:11" s="658" customFormat="1" ht="30" customHeight="1">
      <c r="A168" s="881"/>
      <c r="B168" s="881"/>
      <c r="C168" s="881"/>
      <c r="D168" s="883"/>
      <c r="E168" s="682" t="s">
        <v>1273</v>
      </c>
      <c r="F168" s="683" t="s">
        <v>1229</v>
      </c>
      <c r="G168" s="166">
        <v>728767</v>
      </c>
      <c r="H168" s="673">
        <v>16.1</v>
      </c>
      <c r="I168" s="166">
        <f>361627.79+250000</f>
        <v>611627.79</v>
      </c>
      <c r="J168" s="675">
        <v>100</v>
      </c>
      <c r="K168" s="700"/>
    </row>
    <row r="169" spans="1:11" s="658" customFormat="1" ht="15">
      <c r="A169" s="881"/>
      <c r="B169" s="881"/>
      <c r="C169" s="881"/>
      <c r="D169" s="883"/>
      <c r="E169" s="685" t="s">
        <v>1274</v>
      </c>
      <c r="F169" s="683">
        <v>2020</v>
      </c>
      <c r="G169" s="166">
        <v>500000</v>
      </c>
      <c r="H169" s="673">
        <v>0</v>
      </c>
      <c r="I169" s="166">
        <v>500000</v>
      </c>
      <c r="J169" s="675">
        <v>100</v>
      </c>
      <c r="K169" s="700"/>
    </row>
    <row r="170" spans="1:11" s="658" customFormat="1" ht="15">
      <c r="A170" s="881"/>
      <c r="B170" s="881"/>
      <c r="C170" s="881"/>
      <c r="D170" s="883"/>
      <c r="E170" s="685" t="s">
        <v>1275</v>
      </c>
      <c r="F170" s="683">
        <v>2020</v>
      </c>
      <c r="G170" s="166">
        <v>10001</v>
      </c>
      <c r="H170" s="673">
        <v>0</v>
      </c>
      <c r="I170" s="701">
        <v>10001</v>
      </c>
      <c r="J170" s="675">
        <v>100</v>
      </c>
      <c r="K170" s="700"/>
    </row>
    <row r="171" spans="1:11" s="658" customFormat="1" ht="30.75">
      <c r="A171" s="881"/>
      <c r="B171" s="881"/>
      <c r="C171" s="881"/>
      <c r="D171" s="883"/>
      <c r="E171" s="685" t="s">
        <v>1276</v>
      </c>
      <c r="F171" s="683" t="s">
        <v>1229</v>
      </c>
      <c r="G171" s="166">
        <v>65063</v>
      </c>
      <c r="H171" s="673">
        <v>1.5</v>
      </c>
      <c r="I171" s="701">
        <v>64110.53</v>
      </c>
      <c r="J171" s="675">
        <v>100</v>
      </c>
      <c r="K171" s="700"/>
    </row>
    <row r="172" spans="1:11" s="658" customFormat="1" ht="15">
      <c r="A172" s="881"/>
      <c r="B172" s="881"/>
      <c r="C172" s="881"/>
      <c r="D172" s="883"/>
      <c r="E172" s="685" t="s">
        <v>1277</v>
      </c>
      <c r="F172" s="683" t="s">
        <v>1229</v>
      </c>
      <c r="G172" s="166">
        <v>1480000</v>
      </c>
      <c r="H172" s="673">
        <v>72</v>
      </c>
      <c r="I172" s="701">
        <v>414559.6</v>
      </c>
      <c r="J172" s="675">
        <v>100</v>
      </c>
      <c r="K172" s="700"/>
    </row>
    <row r="173" spans="1:11" s="658" customFormat="1" ht="15" hidden="1">
      <c r="A173" s="881"/>
      <c r="B173" s="881"/>
      <c r="C173" s="881"/>
      <c r="D173" s="883"/>
      <c r="E173" s="685" t="s">
        <v>1278</v>
      </c>
      <c r="F173" s="683">
        <v>2020</v>
      </c>
      <c r="G173" s="166">
        <v>750000</v>
      </c>
      <c r="H173" s="673">
        <v>0</v>
      </c>
      <c r="I173" s="701"/>
      <c r="J173" s="675">
        <v>100</v>
      </c>
      <c r="K173" s="700"/>
    </row>
    <row r="174" spans="1:11" s="658" customFormat="1" ht="15">
      <c r="A174" s="881"/>
      <c r="B174" s="881"/>
      <c r="C174" s="881"/>
      <c r="D174" s="883"/>
      <c r="E174" s="685" t="s">
        <v>1279</v>
      </c>
      <c r="F174" s="683">
        <v>2020</v>
      </c>
      <c r="G174" s="166">
        <v>20000</v>
      </c>
      <c r="H174" s="673">
        <v>0</v>
      </c>
      <c r="I174" s="701">
        <f>700000+220000-900000</f>
        <v>20000</v>
      </c>
      <c r="J174" s="675">
        <v>100</v>
      </c>
      <c r="K174" s="700"/>
    </row>
    <row r="175" spans="1:11" s="658" customFormat="1" ht="15">
      <c r="A175" s="881"/>
      <c r="B175" s="881"/>
      <c r="C175" s="881"/>
      <c r="D175" s="883"/>
      <c r="E175" s="698" t="s">
        <v>1280</v>
      </c>
      <c r="F175" s="683" t="s">
        <v>1229</v>
      </c>
      <c r="G175" s="166">
        <v>2210000</v>
      </c>
      <c r="H175" s="673">
        <v>60</v>
      </c>
      <c r="I175" s="701">
        <v>893000</v>
      </c>
      <c r="J175" s="675">
        <v>100</v>
      </c>
      <c r="K175" s="700"/>
    </row>
    <row r="176" spans="1:11" s="658" customFormat="1" ht="15">
      <c r="A176" s="881"/>
      <c r="B176" s="881"/>
      <c r="C176" s="881"/>
      <c r="D176" s="883"/>
      <c r="E176" s="698" t="s">
        <v>1281</v>
      </c>
      <c r="F176" s="683">
        <v>2020</v>
      </c>
      <c r="G176" s="166">
        <v>350000</v>
      </c>
      <c r="H176" s="673">
        <v>0</v>
      </c>
      <c r="I176" s="166">
        <v>350000</v>
      </c>
      <c r="J176" s="675">
        <v>100</v>
      </c>
      <c r="K176" s="700"/>
    </row>
    <row r="177" spans="1:11" s="658" customFormat="1" ht="15">
      <c r="A177" s="881"/>
      <c r="B177" s="881"/>
      <c r="C177" s="881"/>
      <c r="D177" s="883"/>
      <c r="E177" s="698" t="s">
        <v>1282</v>
      </c>
      <c r="F177" s="683">
        <v>2020</v>
      </c>
      <c r="G177" s="166">
        <v>250000</v>
      </c>
      <c r="H177" s="673">
        <v>0</v>
      </c>
      <c r="I177" s="166">
        <v>250000</v>
      </c>
      <c r="J177" s="675">
        <v>100</v>
      </c>
      <c r="K177" s="700"/>
    </row>
    <row r="178" spans="1:11" s="658" customFormat="1" ht="15" hidden="1">
      <c r="A178" s="881"/>
      <c r="B178" s="881"/>
      <c r="C178" s="881"/>
      <c r="D178" s="883"/>
      <c r="E178" s="685" t="s">
        <v>1283</v>
      </c>
      <c r="F178" s="683">
        <v>2020</v>
      </c>
      <c r="G178" s="166"/>
      <c r="H178" s="673">
        <v>0</v>
      </c>
      <c r="I178" s="166"/>
      <c r="J178" s="675">
        <v>100</v>
      </c>
      <c r="K178" s="700"/>
    </row>
    <row r="179" spans="1:11" s="658" customFormat="1" ht="15">
      <c r="A179" s="881"/>
      <c r="B179" s="881"/>
      <c r="C179" s="881"/>
      <c r="D179" s="883"/>
      <c r="E179" s="685" t="s">
        <v>1284</v>
      </c>
      <c r="F179" s="683" t="s">
        <v>1229</v>
      </c>
      <c r="G179" s="166">
        <v>1395000</v>
      </c>
      <c r="H179" s="673">
        <v>50.3</v>
      </c>
      <c r="I179" s="166">
        <f>643975+50000</f>
        <v>693975</v>
      </c>
      <c r="J179" s="675">
        <v>100</v>
      </c>
      <c r="K179" s="700"/>
    </row>
    <row r="180" spans="1:11" s="658" customFormat="1" ht="15">
      <c r="A180" s="881"/>
      <c r="B180" s="881"/>
      <c r="C180" s="881"/>
      <c r="D180" s="883"/>
      <c r="E180" s="682" t="s">
        <v>1285</v>
      </c>
      <c r="F180" s="683" t="s">
        <v>1229</v>
      </c>
      <c r="G180" s="166">
        <v>570000</v>
      </c>
      <c r="H180" s="673">
        <v>62</v>
      </c>
      <c r="I180" s="166">
        <v>356573</v>
      </c>
      <c r="J180" s="675">
        <v>100</v>
      </c>
      <c r="K180" s="700"/>
    </row>
    <row r="181" spans="1:11" s="658" customFormat="1" ht="15">
      <c r="A181" s="881"/>
      <c r="B181" s="881"/>
      <c r="C181" s="881"/>
      <c r="D181" s="883"/>
      <c r="E181" s="685" t="s">
        <v>1286</v>
      </c>
      <c r="F181" s="683">
        <v>2020</v>
      </c>
      <c r="G181" s="166">
        <v>1250000</v>
      </c>
      <c r="H181" s="673">
        <v>0</v>
      </c>
      <c r="I181" s="166">
        <v>1250000</v>
      </c>
      <c r="J181" s="675">
        <v>100</v>
      </c>
      <c r="K181" s="700"/>
    </row>
    <row r="182" spans="1:11" s="658" customFormat="1" ht="15">
      <c r="A182" s="881"/>
      <c r="B182" s="881"/>
      <c r="C182" s="881"/>
      <c r="D182" s="883"/>
      <c r="E182" s="685" t="s">
        <v>1287</v>
      </c>
      <c r="F182" s="683" t="s">
        <v>1288</v>
      </c>
      <c r="G182" s="166">
        <v>897575</v>
      </c>
      <c r="H182" s="673">
        <v>80</v>
      </c>
      <c r="I182" s="166">
        <v>179649.6</v>
      </c>
      <c r="J182" s="675">
        <v>100</v>
      </c>
      <c r="K182" s="700"/>
    </row>
    <row r="183" spans="1:11" s="658" customFormat="1" ht="30.75">
      <c r="A183" s="881"/>
      <c r="B183" s="881"/>
      <c r="C183" s="881"/>
      <c r="D183" s="883"/>
      <c r="E183" s="685" t="s">
        <v>1289</v>
      </c>
      <c r="F183" s="683" t="s">
        <v>1229</v>
      </c>
      <c r="G183" s="166">
        <v>84102</v>
      </c>
      <c r="H183" s="673">
        <v>1.5</v>
      </c>
      <c r="I183" s="166">
        <v>82878.95</v>
      </c>
      <c r="J183" s="675">
        <v>100</v>
      </c>
      <c r="K183" s="700"/>
    </row>
    <row r="184" spans="1:11" s="658" customFormat="1" ht="30.75">
      <c r="A184" s="881"/>
      <c r="B184" s="881"/>
      <c r="C184" s="881"/>
      <c r="D184" s="883"/>
      <c r="E184" s="685" t="s">
        <v>1290</v>
      </c>
      <c r="F184" s="683" t="s">
        <v>1229</v>
      </c>
      <c r="G184" s="166">
        <v>2700000</v>
      </c>
      <c r="H184" s="673">
        <v>77</v>
      </c>
      <c r="I184" s="166">
        <v>600000</v>
      </c>
      <c r="J184" s="675">
        <v>100</v>
      </c>
      <c r="K184" s="700"/>
    </row>
    <row r="185" spans="1:11" s="658" customFormat="1" ht="15">
      <c r="A185" s="881"/>
      <c r="B185" s="881"/>
      <c r="C185" s="881"/>
      <c r="D185" s="883"/>
      <c r="E185" s="685" t="s">
        <v>1291</v>
      </c>
      <c r="F185" s="683">
        <v>2020</v>
      </c>
      <c r="G185" s="166">
        <v>1400000</v>
      </c>
      <c r="H185" s="673">
        <v>0</v>
      </c>
      <c r="I185" s="166">
        <v>1400000</v>
      </c>
      <c r="J185" s="675">
        <v>100</v>
      </c>
      <c r="K185" s="700"/>
    </row>
    <row r="186" spans="1:11" s="658" customFormat="1" ht="15">
      <c r="A186" s="881"/>
      <c r="B186" s="881"/>
      <c r="C186" s="881"/>
      <c r="D186" s="883"/>
      <c r="E186" s="685" t="s">
        <v>1292</v>
      </c>
      <c r="F186" s="683">
        <v>2020</v>
      </c>
      <c r="G186" s="166">
        <v>400000</v>
      </c>
      <c r="H186" s="673">
        <v>0</v>
      </c>
      <c r="I186" s="166">
        <v>400000</v>
      </c>
      <c r="J186" s="675">
        <v>100</v>
      </c>
      <c r="K186" s="700"/>
    </row>
    <row r="187" spans="1:11" s="658" customFormat="1" ht="30.75" hidden="1">
      <c r="A187" s="881"/>
      <c r="B187" s="881"/>
      <c r="C187" s="881"/>
      <c r="D187" s="883"/>
      <c r="E187" s="685" t="s">
        <v>1293</v>
      </c>
      <c r="F187" s="683">
        <v>2020</v>
      </c>
      <c r="G187" s="166">
        <v>200000</v>
      </c>
      <c r="H187" s="673">
        <v>0</v>
      </c>
      <c r="I187" s="166"/>
      <c r="J187" s="675">
        <v>100</v>
      </c>
      <c r="K187" s="700"/>
    </row>
    <row r="188" spans="1:11" s="658" customFormat="1" ht="30.75">
      <c r="A188" s="881"/>
      <c r="B188" s="881"/>
      <c r="C188" s="881"/>
      <c r="D188" s="883"/>
      <c r="E188" s="685" t="s">
        <v>1294</v>
      </c>
      <c r="F188" s="683">
        <v>2020</v>
      </c>
      <c r="G188" s="166">
        <v>500000</v>
      </c>
      <c r="H188" s="673">
        <v>0</v>
      </c>
      <c r="I188" s="166">
        <v>500000</v>
      </c>
      <c r="J188" s="675">
        <v>100</v>
      </c>
      <c r="K188" s="700"/>
    </row>
    <row r="189" spans="1:11" s="658" customFormat="1" ht="30.75">
      <c r="A189" s="881"/>
      <c r="B189" s="881"/>
      <c r="C189" s="881"/>
      <c r="D189" s="883"/>
      <c r="E189" s="685" t="s">
        <v>1295</v>
      </c>
      <c r="F189" s="683">
        <v>2020</v>
      </c>
      <c r="G189" s="166">
        <v>580000</v>
      </c>
      <c r="H189" s="673">
        <v>0</v>
      </c>
      <c r="I189" s="166">
        <v>580000</v>
      </c>
      <c r="J189" s="675">
        <v>100</v>
      </c>
      <c r="K189" s="700"/>
    </row>
    <row r="190" spans="1:11" s="658" customFormat="1" ht="15">
      <c r="A190" s="881"/>
      <c r="B190" s="881"/>
      <c r="C190" s="881"/>
      <c r="D190" s="883"/>
      <c r="E190" s="685" t="s">
        <v>1296</v>
      </c>
      <c r="F190" s="683" t="s">
        <v>1229</v>
      </c>
      <c r="G190" s="166">
        <v>398400</v>
      </c>
      <c r="H190" s="673">
        <v>50</v>
      </c>
      <c r="I190" s="166">
        <v>198285.04</v>
      </c>
      <c r="J190" s="675">
        <v>100</v>
      </c>
      <c r="K190" s="700"/>
    </row>
    <row r="191" spans="1:11" s="658" customFormat="1" ht="15" hidden="1">
      <c r="A191" s="881"/>
      <c r="B191" s="881"/>
      <c r="C191" s="881"/>
      <c r="D191" s="883"/>
      <c r="E191" s="685" t="s">
        <v>1297</v>
      </c>
      <c r="F191" s="683">
        <v>2020</v>
      </c>
      <c r="G191" s="166">
        <v>800000</v>
      </c>
      <c r="H191" s="673">
        <v>0</v>
      </c>
      <c r="I191" s="166">
        <f>800000-800000</f>
        <v>0</v>
      </c>
      <c r="J191" s="675">
        <v>100</v>
      </c>
      <c r="K191" s="700"/>
    </row>
    <row r="192" spans="1:11" s="658" customFormat="1" ht="15">
      <c r="A192" s="881"/>
      <c r="B192" s="881"/>
      <c r="C192" s="881"/>
      <c r="D192" s="883"/>
      <c r="E192" s="685" t="s">
        <v>1298</v>
      </c>
      <c r="F192" s="683">
        <v>2020</v>
      </c>
      <c r="G192" s="166">
        <v>41709.9</v>
      </c>
      <c r="H192" s="673">
        <v>0</v>
      </c>
      <c r="I192" s="166">
        <f>71709.9-30000</f>
        <v>41709.899999999994</v>
      </c>
      <c r="J192" s="675">
        <v>100</v>
      </c>
      <c r="K192" s="700"/>
    </row>
    <row r="193" spans="1:11" s="658" customFormat="1" ht="15">
      <c r="A193" s="881"/>
      <c r="B193" s="881"/>
      <c r="C193" s="881"/>
      <c r="D193" s="883"/>
      <c r="E193" s="685" t="s">
        <v>1299</v>
      </c>
      <c r="F193" s="683">
        <v>2020</v>
      </c>
      <c r="G193" s="166">
        <v>590000</v>
      </c>
      <c r="H193" s="673">
        <v>0</v>
      </c>
      <c r="I193" s="166">
        <f>500000+90000</f>
        <v>590000</v>
      </c>
      <c r="J193" s="675">
        <v>100</v>
      </c>
      <c r="K193" s="700"/>
    </row>
    <row r="194" spans="1:11" s="658" customFormat="1" ht="15">
      <c r="A194" s="881"/>
      <c r="B194" s="881"/>
      <c r="C194" s="881"/>
      <c r="D194" s="883"/>
      <c r="E194" s="685" t="s">
        <v>1300</v>
      </c>
      <c r="F194" s="683">
        <v>2020</v>
      </c>
      <c r="G194" s="166">
        <v>800000</v>
      </c>
      <c r="H194" s="673">
        <v>0</v>
      </c>
      <c r="I194" s="166">
        <v>800000</v>
      </c>
      <c r="J194" s="675">
        <v>100</v>
      </c>
      <c r="K194" s="700"/>
    </row>
    <row r="195" spans="1:11" s="658" customFormat="1" ht="30.75">
      <c r="A195" s="881"/>
      <c r="B195" s="881"/>
      <c r="C195" s="881"/>
      <c r="D195" s="883"/>
      <c r="E195" s="685" t="s">
        <v>1301</v>
      </c>
      <c r="F195" s="683" t="s">
        <v>1288</v>
      </c>
      <c r="G195" s="166">
        <v>1499600</v>
      </c>
      <c r="H195" s="673">
        <v>65.9</v>
      </c>
      <c r="I195" s="166">
        <f>402000+110000</f>
        <v>512000</v>
      </c>
      <c r="J195" s="675">
        <v>100</v>
      </c>
      <c r="K195" s="700"/>
    </row>
    <row r="196" spans="1:11" s="658" customFormat="1" ht="15">
      <c r="A196" s="881"/>
      <c r="B196" s="881"/>
      <c r="C196" s="881"/>
      <c r="D196" s="883"/>
      <c r="E196" s="685" t="s">
        <v>1302</v>
      </c>
      <c r="F196" s="683" t="s">
        <v>1229</v>
      </c>
      <c r="G196" s="166">
        <v>988916</v>
      </c>
      <c r="H196" s="673">
        <v>98</v>
      </c>
      <c r="I196" s="166">
        <v>22229.58</v>
      </c>
      <c r="J196" s="675">
        <v>100</v>
      </c>
      <c r="K196" s="700"/>
    </row>
    <row r="197" spans="1:11" s="658" customFormat="1" ht="46.5" customHeight="1">
      <c r="A197" s="881"/>
      <c r="B197" s="881"/>
      <c r="C197" s="881"/>
      <c r="D197" s="883"/>
      <c r="E197" s="685" t="s">
        <v>1303</v>
      </c>
      <c r="F197" s="683">
        <v>2020</v>
      </c>
      <c r="G197" s="166">
        <v>250000</v>
      </c>
      <c r="H197" s="673">
        <v>0</v>
      </c>
      <c r="I197" s="166">
        <v>250000</v>
      </c>
      <c r="J197" s="675">
        <v>100</v>
      </c>
      <c r="K197" s="700"/>
    </row>
    <row r="198" spans="1:11" s="658" customFormat="1" ht="15">
      <c r="A198" s="881"/>
      <c r="B198" s="881"/>
      <c r="C198" s="881"/>
      <c r="D198" s="883"/>
      <c r="E198" s="685" t="s">
        <v>1304</v>
      </c>
      <c r="F198" s="683">
        <v>2020</v>
      </c>
      <c r="G198" s="166">
        <v>800000</v>
      </c>
      <c r="H198" s="673">
        <v>0</v>
      </c>
      <c r="I198" s="166">
        <v>800000</v>
      </c>
      <c r="J198" s="675">
        <v>100</v>
      </c>
      <c r="K198" s="700"/>
    </row>
    <row r="199" spans="1:11" s="658" customFormat="1" ht="18.75" customHeight="1" hidden="1">
      <c r="A199" s="881"/>
      <c r="B199" s="881"/>
      <c r="C199" s="881"/>
      <c r="D199" s="883"/>
      <c r="E199" s="685" t="s">
        <v>1305</v>
      </c>
      <c r="F199" s="683">
        <v>2020</v>
      </c>
      <c r="G199" s="166">
        <v>1200000</v>
      </c>
      <c r="H199" s="673">
        <v>0</v>
      </c>
      <c r="I199" s="166">
        <f>1200000-1200000</f>
        <v>0</v>
      </c>
      <c r="J199" s="675">
        <v>100</v>
      </c>
      <c r="K199" s="700"/>
    </row>
    <row r="200" spans="1:11" s="658" customFormat="1" ht="15" hidden="1">
      <c r="A200" s="881"/>
      <c r="B200" s="881"/>
      <c r="C200" s="881"/>
      <c r="D200" s="883"/>
      <c r="E200" s="685" t="s">
        <v>1306</v>
      </c>
      <c r="F200" s="683">
        <v>2020</v>
      </c>
      <c r="G200" s="166">
        <v>400000</v>
      </c>
      <c r="H200" s="673">
        <v>0</v>
      </c>
      <c r="I200" s="166">
        <f>400000-400000</f>
        <v>0</v>
      </c>
      <c r="J200" s="675">
        <v>100</v>
      </c>
      <c r="K200" s="700"/>
    </row>
    <row r="201" spans="1:11" s="658" customFormat="1" ht="30.75" hidden="1">
      <c r="A201" s="881"/>
      <c r="B201" s="881"/>
      <c r="C201" s="881"/>
      <c r="D201" s="883"/>
      <c r="E201" s="685" t="s">
        <v>1307</v>
      </c>
      <c r="F201" s="683">
        <v>2020</v>
      </c>
      <c r="G201" s="166">
        <v>300000</v>
      </c>
      <c r="H201" s="673">
        <v>0</v>
      </c>
      <c r="I201" s="166">
        <f>300000-300000</f>
        <v>0</v>
      </c>
      <c r="J201" s="675">
        <v>100</v>
      </c>
      <c r="K201" s="700"/>
    </row>
    <row r="202" spans="1:11" s="658" customFormat="1" ht="30.75" hidden="1">
      <c r="A202" s="881"/>
      <c r="B202" s="881"/>
      <c r="C202" s="881"/>
      <c r="D202" s="883"/>
      <c r="E202" s="685" t="s">
        <v>1308</v>
      </c>
      <c r="F202" s="683">
        <v>2020</v>
      </c>
      <c r="G202" s="166">
        <v>250000</v>
      </c>
      <c r="H202" s="673">
        <v>0</v>
      </c>
      <c r="I202" s="166">
        <f>250000-250000</f>
        <v>0</v>
      </c>
      <c r="J202" s="675">
        <v>100</v>
      </c>
      <c r="K202" s="700"/>
    </row>
    <row r="203" spans="1:11" s="658" customFormat="1" ht="30.75">
      <c r="A203" s="881"/>
      <c r="B203" s="881"/>
      <c r="C203" s="881"/>
      <c r="D203" s="883"/>
      <c r="E203" s="682" t="s">
        <v>1309</v>
      </c>
      <c r="F203" s="683">
        <v>2020</v>
      </c>
      <c r="G203" s="166">
        <v>600000</v>
      </c>
      <c r="H203" s="673">
        <v>0</v>
      </c>
      <c r="I203" s="166">
        <v>600000</v>
      </c>
      <c r="J203" s="675">
        <v>100</v>
      </c>
      <c r="K203" s="700"/>
    </row>
    <row r="204" spans="1:11" s="658" customFormat="1" ht="30.75">
      <c r="A204" s="881"/>
      <c r="B204" s="881"/>
      <c r="C204" s="881"/>
      <c r="D204" s="883"/>
      <c r="E204" s="682" t="s">
        <v>1310</v>
      </c>
      <c r="F204" s="683">
        <v>2020</v>
      </c>
      <c r="G204" s="166">
        <v>200000</v>
      </c>
      <c r="H204" s="673">
        <v>0</v>
      </c>
      <c r="I204" s="166">
        <v>200000</v>
      </c>
      <c r="J204" s="675">
        <v>100</v>
      </c>
      <c r="K204" s="700"/>
    </row>
    <row r="205" spans="1:11" s="658" customFormat="1" ht="15" hidden="1">
      <c r="A205" s="881"/>
      <c r="B205" s="881"/>
      <c r="C205" s="881"/>
      <c r="D205" s="883"/>
      <c r="E205" s="685" t="s">
        <v>1311</v>
      </c>
      <c r="F205" s="683">
        <v>2020</v>
      </c>
      <c r="G205" s="166">
        <v>40000</v>
      </c>
      <c r="H205" s="673">
        <v>0</v>
      </c>
      <c r="I205" s="166">
        <f>40000-40000</f>
        <v>0</v>
      </c>
      <c r="J205" s="675">
        <v>100</v>
      </c>
      <c r="K205" s="700"/>
    </row>
    <row r="206" spans="1:11" s="658" customFormat="1" ht="15">
      <c r="A206" s="881"/>
      <c r="B206" s="881"/>
      <c r="C206" s="881"/>
      <c r="D206" s="883"/>
      <c r="E206" s="685" t="s">
        <v>1312</v>
      </c>
      <c r="F206" s="683">
        <v>2020</v>
      </c>
      <c r="G206" s="166">
        <v>76756</v>
      </c>
      <c r="H206" s="673">
        <v>0</v>
      </c>
      <c r="I206" s="99">
        <f>36756+1500000-1460000</f>
        <v>76756</v>
      </c>
      <c r="J206" s="675">
        <v>100</v>
      </c>
      <c r="K206" s="700"/>
    </row>
    <row r="207" spans="1:11" s="658" customFormat="1" ht="15">
      <c r="A207" s="881"/>
      <c r="B207" s="881"/>
      <c r="C207" s="881"/>
      <c r="D207" s="883"/>
      <c r="E207" s="685" t="s">
        <v>1313</v>
      </c>
      <c r="F207" s="683" t="s">
        <v>1266</v>
      </c>
      <c r="G207" s="166">
        <v>1500000</v>
      </c>
      <c r="H207" s="673">
        <v>0</v>
      </c>
      <c r="I207" s="166">
        <f>1500000-1000000</f>
        <v>500000</v>
      </c>
      <c r="J207" s="675">
        <v>33.3</v>
      </c>
      <c r="K207" s="700"/>
    </row>
    <row r="208" spans="1:11" s="658" customFormat="1" ht="15">
      <c r="A208" s="881"/>
      <c r="B208" s="881"/>
      <c r="C208" s="881"/>
      <c r="D208" s="883"/>
      <c r="E208" s="682" t="s">
        <v>1314</v>
      </c>
      <c r="F208" s="683" t="s">
        <v>1229</v>
      </c>
      <c r="G208" s="166">
        <v>200000</v>
      </c>
      <c r="H208" s="673">
        <v>98</v>
      </c>
      <c r="I208" s="166">
        <v>13957.08</v>
      </c>
      <c r="J208" s="675">
        <v>100</v>
      </c>
      <c r="K208" s="700"/>
    </row>
    <row r="209" spans="1:11" s="658" customFormat="1" ht="30.75" hidden="1">
      <c r="A209" s="881"/>
      <c r="B209" s="881"/>
      <c r="C209" s="881"/>
      <c r="D209" s="883"/>
      <c r="E209" s="685" t="s">
        <v>1315</v>
      </c>
      <c r="F209" s="683">
        <v>2020</v>
      </c>
      <c r="G209" s="166"/>
      <c r="H209" s="673">
        <v>0</v>
      </c>
      <c r="I209" s="166"/>
      <c r="J209" s="675">
        <v>100</v>
      </c>
      <c r="K209" s="700"/>
    </row>
    <row r="210" spans="1:11" s="658" customFormat="1" ht="15">
      <c r="A210" s="881"/>
      <c r="B210" s="881"/>
      <c r="C210" s="881"/>
      <c r="D210" s="883"/>
      <c r="E210" s="685" t="s">
        <v>1316</v>
      </c>
      <c r="F210" s="683" t="s">
        <v>1229</v>
      </c>
      <c r="G210" s="166">
        <v>1030000</v>
      </c>
      <c r="H210" s="673">
        <v>67</v>
      </c>
      <c r="I210" s="166">
        <v>696002</v>
      </c>
      <c r="J210" s="675">
        <v>100</v>
      </c>
      <c r="K210" s="700"/>
    </row>
    <row r="211" spans="1:11" s="658" customFormat="1" ht="15">
      <c r="A211" s="881"/>
      <c r="B211" s="881"/>
      <c r="C211" s="881"/>
      <c r="D211" s="883"/>
      <c r="E211" s="685" t="s">
        <v>1317</v>
      </c>
      <c r="F211" s="683">
        <v>2020</v>
      </c>
      <c r="G211" s="166">
        <v>200000</v>
      </c>
      <c r="H211" s="673">
        <v>0</v>
      </c>
      <c r="I211" s="166">
        <v>200000</v>
      </c>
      <c r="J211" s="675">
        <v>100</v>
      </c>
      <c r="K211" s="700"/>
    </row>
    <row r="212" spans="1:11" s="658" customFormat="1" ht="15">
      <c r="A212" s="881"/>
      <c r="B212" s="881"/>
      <c r="C212" s="881"/>
      <c r="D212" s="883"/>
      <c r="E212" s="685" t="s">
        <v>1318</v>
      </c>
      <c r="F212" s="683">
        <v>2020</v>
      </c>
      <c r="G212" s="166">
        <v>500000</v>
      </c>
      <c r="H212" s="673">
        <v>0</v>
      </c>
      <c r="I212" s="166">
        <v>500000</v>
      </c>
      <c r="J212" s="675">
        <v>100</v>
      </c>
      <c r="K212" s="700"/>
    </row>
    <row r="213" spans="1:11" s="658" customFormat="1" ht="15">
      <c r="A213" s="881"/>
      <c r="B213" s="881"/>
      <c r="C213" s="881"/>
      <c r="D213" s="883"/>
      <c r="E213" s="685" t="s">
        <v>1319</v>
      </c>
      <c r="F213" s="683">
        <v>2020</v>
      </c>
      <c r="G213" s="166">
        <v>200000</v>
      </c>
      <c r="H213" s="673">
        <v>0</v>
      </c>
      <c r="I213" s="166">
        <v>200000</v>
      </c>
      <c r="J213" s="675">
        <v>100</v>
      </c>
      <c r="K213" s="700"/>
    </row>
    <row r="214" spans="1:11" s="658" customFormat="1" ht="30.75">
      <c r="A214" s="881"/>
      <c r="B214" s="881"/>
      <c r="C214" s="881"/>
      <c r="D214" s="883"/>
      <c r="E214" s="702" t="s">
        <v>1320</v>
      </c>
      <c r="F214" s="683">
        <v>2020</v>
      </c>
      <c r="G214" s="166">
        <v>400000</v>
      </c>
      <c r="H214" s="673">
        <v>0</v>
      </c>
      <c r="I214" s="166">
        <v>400000</v>
      </c>
      <c r="J214" s="675">
        <v>100</v>
      </c>
      <c r="K214" s="700"/>
    </row>
    <row r="215" spans="1:11" s="658" customFormat="1" ht="15">
      <c r="A215" s="881"/>
      <c r="B215" s="881"/>
      <c r="C215" s="881"/>
      <c r="D215" s="883"/>
      <c r="E215" s="702" t="s">
        <v>1321</v>
      </c>
      <c r="F215" s="683" t="s">
        <v>1229</v>
      </c>
      <c r="G215" s="166">
        <v>1443934</v>
      </c>
      <c r="H215" s="673">
        <v>96</v>
      </c>
      <c r="I215" s="166">
        <v>58313</v>
      </c>
      <c r="J215" s="675">
        <v>100</v>
      </c>
      <c r="K215" s="700"/>
    </row>
    <row r="216" spans="1:11" s="658" customFormat="1" ht="15">
      <c r="A216" s="881"/>
      <c r="B216" s="881"/>
      <c r="C216" s="881"/>
      <c r="D216" s="883"/>
      <c r="E216" s="702" t="s">
        <v>1322</v>
      </c>
      <c r="F216" s="683" t="s">
        <v>1229</v>
      </c>
      <c r="G216" s="166">
        <v>1412789</v>
      </c>
      <c r="H216" s="673">
        <v>94.1</v>
      </c>
      <c r="I216" s="166">
        <v>83438</v>
      </c>
      <c r="J216" s="675">
        <v>100</v>
      </c>
      <c r="K216" s="700"/>
    </row>
    <row r="217" spans="1:11" s="658" customFormat="1" ht="15">
      <c r="A217" s="881"/>
      <c r="B217" s="881"/>
      <c r="C217" s="881"/>
      <c r="D217" s="883"/>
      <c r="E217" s="685" t="s">
        <v>1323</v>
      </c>
      <c r="F217" s="683" t="s">
        <v>1229</v>
      </c>
      <c r="G217" s="166">
        <v>1133092</v>
      </c>
      <c r="H217" s="673">
        <v>82</v>
      </c>
      <c r="I217" s="166">
        <v>200800</v>
      </c>
      <c r="J217" s="675">
        <v>100</v>
      </c>
      <c r="K217" s="700"/>
    </row>
    <row r="218" spans="1:11" s="658" customFormat="1" ht="15" hidden="1">
      <c r="A218" s="881"/>
      <c r="B218" s="881"/>
      <c r="C218" s="881"/>
      <c r="D218" s="883"/>
      <c r="E218" s="685" t="s">
        <v>1324</v>
      </c>
      <c r="F218" s="683">
        <v>2020</v>
      </c>
      <c r="G218" s="166"/>
      <c r="H218" s="673">
        <v>0</v>
      </c>
      <c r="I218" s="166"/>
      <c r="J218" s="675">
        <v>100</v>
      </c>
      <c r="K218" s="700"/>
    </row>
    <row r="219" spans="1:11" s="658" customFormat="1" ht="46.5">
      <c r="A219" s="881"/>
      <c r="B219" s="881"/>
      <c r="C219" s="881"/>
      <c r="D219" s="883"/>
      <c r="E219" s="685" t="s">
        <v>1325</v>
      </c>
      <c r="F219" s="683" t="s">
        <v>1229</v>
      </c>
      <c r="G219" s="166">
        <v>1413484</v>
      </c>
      <c r="H219" s="673">
        <v>67.7</v>
      </c>
      <c r="I219" s="166">
        <f>356753.05+100000</f>
        <v>456753.05</v>
      </c>
      <c r="J219" s="675">
        <v>100</v>
      </c>
      <c r="K219" s="700"/>
    </row>
    <row r="220" spans="1:11" s="658" customFormat="1" ht="15">
      <c r="A220" s="881"/>
      <c r="B220" s="881"/>
      <c r="C220" s="881"/>
      <c r="D220" s="883"/>
      <c r="E220" s="685" t="s">
        <v>1326</v>
      </c>
      <c r="F220" s="683" t="s">
        <v>1229</v>
      </c>
      <c r="G220" s="166">
        <v>314000</v>
      </c>
      <c r="H220" s="673">
        <v>95</v>
      </c>
      <c r="I220" s="166">
        <v>14240</v>
      </c>
      <c r="J220" s="675">
        <v>100</v>
      </c>
      <c r="K220" s="700"/>
    </row>
    <row r="221" spans="1:11" s="658" customFormat="1" ht="30.75">
      <c r="A221" s="881"/>
      <c r="B221" s="881"/>
      <c r="C221" s="881"/>
      <c r="D221" s="883"/>
      <c r="E221" s="685" t="s">
        <v>1327</v>
      </c>
      <c r="F221" s="683">
        <v>2020</v>
      </c>
      <c r="G221" s="166">
        <v>402000</v>
      </c>
      <c r="H221" s="673">
        <v>0</v>
      </c>
      <c r="I221" s="166">
        <v>402000</v>
      </c>
      <c r="J221" s="675">
        <v>100</v>
      </c>
      <c r="K221" s="700"/>
    </row>
    <row r="222" spans="1:11" s="658" customFormat="1" ht="30.75">
      <c r="A222" s="881"/>
      <c r="B222" s="881"/>
      <c r="C222" s="881"/>
      <c r="D222" s="883"/>
      <c r="E222" s="685" t="s">
        <v>1328</v>
      </c>
      <c r="F222" s="683" t="s">
        <v>1229</v>
      </c>
      <c r="G222" s="686">
        <v>1555930</v>
      </c>
      <c r="H222" s="673">
        <v>62</v>
      </c>
      <c r="I222" s="686">
        <v>961100</v>
      </c>
      <c r="J222" s="675">
        <v>100</v>
      </c>
      <c r="K222" s="700"/>
    </row>
    <row r="223" spans="1:11" s="658" customFormat="1" ht="30.75">
      <c r="A223" s="881"/>
      <c r="B223" s="881"/>
      <c r="C223" s="881"/>
      <c r="D223" s="883"/>
      <c r="E223" s="685" t="s">
        <v>1329</v>
      </c>
      <c r="F223" s="683" t="s">
        <v>1229</v>
      </c>
      <c r="G223" s="166">
        <v>430000</v>
      </c>
      <c r="H223" s="673">
        <v>99</v>
      </c>
      <c r="I223" s="166">
        <v>1290.1</v>
      </c>
      <c r="J223" s="675">
        <v>100</v>
      </c>
      <c r="K223" s="700"/>
    </row>
    <row r="224" spans="1:11" s="658" customFormat="1" ht="30.75">
      <c r="A224" s="881"/>
      <c r="B224" s="881"/>
      <c r="C224" s="881"/>
      <c r="D224" s="883"/>
      <c r="E224" s="685" t="s">
        <v>1330</v>
      </c>
      <c r="F224" s="683">
        <v>2020</v>
      </c>
      <c r="G224" s="166">
        <v>1200000</v>
      </c>
      <c r="H224" s="673">
        <v>0</v>
      </c>
      <c r="I224" s="166">
        <v>1200000</v>
      </c>
      <c r="J224" s="675">
        <v>100</v>
      </c>
      <c r="K224" s="700"/>
    </row>
    <row r="225" spans="1:11" s="658" customFormat="1" ht="15">
      <c r="A225" s="881"/>
      <c r="B225" s="881"/>
      <c r="C225" s="881"/>
      <c r="D225" s="883"/>
      <c r="E225" s="682" t="s">
        <v>1331</v>
      </c>
      <c r="F225" s="683">
        <v>2020</v>
      </c>
      <c r="G225" s="166">
        <v>700000</v>
      </c>
      <c r="H225" s="673">
        <v>0</v>
      </c>
      <c r="I225" s="166">
        <v>700000</v>
      </c>
      <c r="J225" s="675">
        <v>100</v>
      </c>
      <c r="K225" s="700"/>
    </row>
    <row r="226" spans="1:11" s="658" customFormat="1" ht="15">
      <c r="A226" s="881"/>
      <c r="B226" s="881"/>
      <c r="C226" s="881"/>
      <c r="D226" s="883"/>
      <c r="E226" s="698" t="s">
        <v>1332</v>
      </c>
      <c r="F226" s="683">
        <v>2020</v>
      </c>
      <c r="G226" s="166">
        <v>200000</v>
      </c>
      <c r="H226" s="673">
        <v>0</v>
      </c>
      <c r="I226" s="166">
        <v>200000</v>
      </c>
      <c r="J226" s="675">
        <v>100</v>
      </c>
      <c r="K226" s="700"/>
    </row>
    <row r="227" spans="1:11" s="658" customFormat="1" ht="15">
      <c r="A227" s="881"/>
      <c r="B227" s="881"/>
      <c r="C227" s="881"/>
      <c r="D227" s="883"/>
      <c r="E227" s="685" t="s">
        <v>1333</v>
      </c>
      <c r="F227" s="683">
        <v>2020</v>
      </c>
      <c r="G227" s="166">
        <v>1490000</v>
      </c>
      <c r="H227" s="673">
        <v>0</v>
      </c>
      <c r="I227" s="166">
        <v>1490000</v>
      </c>
      <c r="J227" s="675">
        <v>100</v>
      </c>
      <c r="K227" s="700"/>
    </row>
    <row r="228" spans="1:11" s="658" customFormat="1" ht="15">
      <c r="A228" s="881"/>
      <c r="B228" s="881"/>
      <c r="C228" s="881"/>
      <c r="D228" s="883"/>
      <c r="E228" s="698" t="s">
        <v>1334</v>
      </c>
      <c r="F228" s="683">
        <v>2020</v>
      </c>
      <c r="G228" s="166">
        <v>7128000</v>
      </c>
      <c r="H228" s="673">
        <v>0</v>
      </c>
      <c r="I228" s="166">
        <v>7128000</v>
      </c>
      <c r="J228" s="675">
        <v>100</v>
      </c>
      <c r="K228" s="700"/>
    </row>
    <row r="229" spans="1:11" s="658" customFormat="1" ht="15">
      <c r="A229" s="881"/>
      <c r="B229" s="881"/>
      <c r="C229" s="881"/>
      <c r="D229" s="883"/>
      <c r="E229" s="685" t="s">
        <v>1335</v>
      </c>
      <c r="F229" s="683" t="s">
        <v>1229</v>
      </c>
      <c r="G229" s="166">
        <v>1489210</v>
      </c>
      <c r="H229" s="673">
        <v>90</v>
      </c>
      <c r="I229" s="166">
        <v>147639.02</v>
      </c>
      <c r="J229" s="675">
        <v>100</v>
      </c>
      <c r="K229" s="700"/>
    </row>
    <row r="230" spans="1:11" s="658" customFormat="1" ht="30.75">
      <c r="A230" s="881"/>
      <c r="B230" s="881"/>
      <c r="C230" s="881"/>
      <c r="D230" s="883"/>
      <c r="E230" s="685" t="s">
        <v>1336</v>
      </c>
      <c r="F230" s="683">
        <v>2020</v>
      </c>
      <c r="G230" s="166">
        <v>1490000</v>
      </c>
      <c r="H230" s="673">
        <v>0</v>
      </c>
      <c r="I230" s="166">
        <v>1490000</v>
      </c>
      <c r="J230" s="675">
        <v>100</v>
      </c>
      <c r="K230" s="700"/>
    </row>
    <row r="231" spans="1:11" s="658" customFormat="1" ht="15">
      <c r="A231" s="881"/>
      <c r="B231" s="881"/>
      <c r="C231" s="881"/>
      <c r="D231" s="883"/>
      <c r="E231" s="685" t="s">
        <v>1337</v>
      </c>
      <c r="F231" s="683">
        <v>2020</v>
      </c>
      <c r="G231" s="166">
        <v>1490000</v>
      </c>
      <c r="H231" s="673">
        <v>0</v>
      </c>
      <c r="I231" s="166">
        <v>1490000</v>
      </c>
      <c r="J231" s="675">
        <v>100</v>
      </c>
      <c r="K231" s="700"/>
    </row>
    <row r="232" spans="1:11" s="658" customFormat="1" ht="30.75">
      <c r="A232" s="881"/>
      <c r="B232" s="881"/>
      <c r="C232" s="881"/>
      <c r="D232" s="883"/>
      <c r="E232" s="685" t="s">
        <v>1338</v>
      </c>
      <c r="F232" s="683">
        <v>2020</v>
      </c>
      <c r="G232" s="166">
        <v>500000</v>
      </c>
      <c r="H232" s="673">
        <v>0</v>
      </c>
      <c r="I232" s="166">
        <f>3000000-2500000</f>
        <v>500000</v>
      </c>
      <c r="J232" s="675">
        <v>100</v>
      </c>
      <c r="K232" s="700"/>
    </row>
    <row r="233" spans="1:11" s="658" customFormat="1" ht="46.5">
      <c r="A233" s="881"/>
      <c r="B233" s="881"/>
      <c r="C233" s="881"/>
      <c r="D233" s="883"/>
      <c r="E233" s="682" t="s">
        <v>1339</v>
      </c>
      <c r="F233" s="683">
        <v>2020</v>
      </c>
      <c r="G233" s="166">
        <v>800000</v>
      </c>
      <c r="H233" s="673">
        <v>0</v>
      </c>
      <c r="I233" s="166">
        <v>800000</v>
      </c>
      <c r="J233" s="675">
        <v>100</v>
      </c>
      <c r="K233" s="700"/>
    </row>
    <row r="234" spans="1:11" s="658" customFormat="1" ht="33" customHeight="1">
      <c r="A234" s="881"/>
      <c r="B234" s="881"/>
      <c r="C234" s="881"/>
      <c r="D234" s="883"/>
      <c r="E234" s="685" t="s">
        <v>1340</v>
      </c>
      <c r="F234" s="683" t="s">
        <v>1229</v>
      </c>
      <c r="G234" s="166">
        <v>700000</v>
      </c>
      <c r="H234" s="673">
        <v>93</v>
      </c>
      <c r="I234" s="166">
        <v>47393</v>
      </c>
      <c r="J234" s="675">
        <v>100</v>
      </c>
      <c r="K234" s="700"/>
    </row>
    <row r="235" spans="1:11" s="658" customFormat="1" ht="30.75">
      <c r="A235" s="881"/>
      <c r="B235" s="881"/>
      <c r="C235" s="881"/>
      <c r="D235" s="883"/>
      <c r="E235" s="703" t="s">
        <v>1341</v>
      </c>
      <c r="F235" s="683" t="s">
        <v>1266</v>
      </c>
      <c r="G235" s="686">
        <v>7599990</v>
      </c>
      <c r="H235" s="673">
        <v>0</v>
      </c>
      <c r="I235" s="686">
        <v>176000</v>
      </c>
      <c r="J235" s="675">
        <v>2.3</v>
      </c>
      <c r="K235" s="700"/>
    </row>
    <row r="236" spans="1:11" s="658" customFormat="1" ht="15">
      <c r="A236" s="881"/>
      <c r="B236" s="881"/>
      <c r="C236" s="881"/>
      <c r="D236" s="883"/>
      <c r="E236" s="703" t="s">
        <v>1342</v>
      </c>
      <c r="F236" s="683">
        <v>2020</v>
      </c>
      <c r="G236" s="686">
        <v>935000</v>
      </c>
      <c r="H236" s="673">
        <v>0</v>
      </c>
      <c r="I236" s="686">
        <v>935000</v>
      </c>
      <c r="J236" s="675">
        <v>100</v>
      </c>
      <c r="K236" s="700"/>
    </row>
    <row r="237" spans="1:11" s="658" customFormat="1" ht="46.5">
      <c r="A237" s="881"/>
      <c r="B237" s="881"/>
      <c r="C237" s="881"/>
      <c r="D237" s="883"/>
      <c r="E237" s="685" t="s">
        <v>1343</v>
      </c>
      <c r="F237" s="683">
        <v>2020</v>
      </c>
      <c r="G237" s="704">
        <v>645800</v>
      </c>
      <c r="H237" s="673">
        <v>0</v>
      </c>
      <c r="I237" s="704">
        <v>645800</v>
      </c>
      <c r="J237" s="675">
        <v>100</v>
      </c>
      <c r="K237" s="700"/>
    </row>
    <row r="238" spans="1:11" s="658" customFormat="1" ht="46.5">
      <c r="A238" s="881"/>
      <c r="B238" s="881"/>
      <c r="C238" s="881"/>
      <c r="D238" s="883"/>
      <c r="E238" s="685" t="s">
        <v>1344</v>
      </c>
      <c r="F238" s="683">
        <v>2020</v>
      </c>
      <c r="G238" s="704">
        <v>1482650</v>
      </c>
      <c r="H238" s="673">
        <v>0</v>
      </c>
      <c r="I238" s="704">
        <v>1482650</v>
      </c>
      <c r="J238" s="675">
        <v>100</v>
      </c>
      <c r="K238" s="700"/>
    </row>
    <row r="239" spans="1:11" s="658" customFormat="1" ht="30.75">
      <c r="A239" s="881"/>
      <c r="B239" s="881"/>
      <c r="C239" s="881"/>
      <c r="D239" s="883"/>
      <c r="E239" s="682" t="s">
        <v>1345</v>
      </c>
      <c r="F239" s="683" t="s">
        <v>1229</v>
      </c>
      <c r="G239" s="166">
        <v>1500000</v>
      </c>
      <c r="H239" s="673">
        <v>13</v>
      </c>
      <c r="I239" s="166">
        <v>1300000</v>
      </c>
      <c r="J239" s="675">
        <v>100</v>
      </c>
      <c r="K239" s="700"/>
    </row>
    <row r="240" spans="1:11" s="658" customFormat="1" ht="30.75">
      <c r="A240" s="881"/>
      <c r="B240" s="881"/>
      <c r="C240" s="881"/>
      <c r="D240" s="883"/>
      <c r="E240" s="682" t="s">
        <v>1346</v>
      </c>
      <c r="F240" s="683">
        <v>2020</v>
      </c>
      <c r="G240" s="166">
        <v>30000</v>
      </c>
      <c r="H240" s="673">
        <v>0</v>
      </c>
      <c r="I240" s="166">
        <v>30000</v>
      </c>
      <c r="J240" s="675">
        <v>100</v>
      </c>
      <c r="K240" s="700"/>
    </row>
    <row r="241" spans="1:11" s="658" customFormat="1" ht="30.75">
      <c r="A241" s="881"/>
      <c r="B241" s="881"/>
      <c r="C241" s="881"/>
      <c r="D241" s="883"/>
      <c r="E241" s="685" t="s">
        <v>1347</v>
      </c>
      <c r="F241" s="683">
        <v>2020</v>
      </c>
      <c r="G241" s="166">
        <v>800000</v>
      </c>
      <c r="H241" s="673">
        <v>0</v>
      </c>
      <c r="I241" s="166">
        <v>300000</v>
      </c>
      <c r="J241" s="675">
        <v>100</v>
      </c>
      <c r="K241" s="700"/>
    </row>
    <row r="242" spans="1:11" s="658" customFormat="1" ht="30.75">
      <c r="A242" s="881"/>
      <c r="B242" s="881"/>
      <c r="C242" s="881"/>
      <c r="D242" s="883"/>
      <c r="E242" s="682" t="s">
        <v>1348</v>
      </c>
      <c r="F242" s="683" t="s">
        <v>1229</v>
      </c>
      <c r="G242" s="166">
        <v>300000</v>
      </c>
      <c r="H242" s="673">
        <v>82</v>
      </c>
      <c r="I242" s="166">
        <v>54196</v>
      </c>
      <c r="J242" s="675">
        <v>100</v>
      </c>
      <c r="K242" s="700"/>
    </row>
    <row r="243" spans="1:11" s="658" customFormat="1" ht="30.75">
      <c r="A243" s="881"/>
      <c r="B243" s="881"/>
      <c r="C243" s="881"/>
      <c r="D243" s="883"/>
      <c r="E243" s="682" t="s">
        <v>1349</v>
      </c>
      <c r="F243" s="683" t="s">
        <v>1229</v>
      </c>
      <c r="G243" s="166">
        <v>1190000</v>
      </c>
      <c r="H243" s="673">
        <v>61</v>
      </c>
      <c r="I243" s="166">
        <v>459178.4</v>
      </c>
      <c r="J243" s="675">
        <v>100</v>
      </c>
      <c r="K243" s="700"/>
    </row>
    <row r="244" spans="1:11" s="658" customFormat="1" ht="30.75">
      <c r="A244" s="881"/>
      <c r="B244" s="881"/>
      <c r="C244" s="881"/>
      <c r="D244" s="883"/>
      <c r="E244" s="682" t="s">
        <v>1350</v>
      </c>
      <c r="F244" s="683" t="s">
        <v>1229</v>
      </c>
      <c r="G244" s="166">
        <v>300000</v>
      </c>
      <c r="H244" s="673">
        <v>54</v>
      </c>
      <c r="I244" s="166">
        <v>137648.6</v>
      </c>
      <c r="J244" s="675">
        <v>100</v>
      </c>
      <c r="K244" s="700"/>
    </row>
    <row r="245" spans="1:11" s="658" customFormat="1" ht="30.75">
      <c r="A245" s="881"/>
      <c r="B245" s="881"/>
      <c r="C245" s="881"/>
      <c r="D245" s="883"/>
      <c r="E245" s="682" t="s">
        <v>1351</v>
      </c>
      <c r="F245" s="683">
        <v>2020</v>
      </c>
      <c r="G245" s="166">
        <v>1205937</v>
      </c>
      <c r="H245" s="673">
        <v>0</v>
      </c>
      <c r="I245" s="701">
        <f>990000+215937</f>
        <v>1205937</v>
      </c>
      <c r="J245" s="675">
        <v>100</v>
      </c>
      <c r="K245" s="700"/>
    </row>
    <row r="246" spans="1:11" s="658" customFormat="1" ht="15">
      <c r="A246" s="881"/>
      <c r="B246" s="881"/>
      <c r="C246" s="881"/>
      <c r="D246" s="883"/>
      <c r="E246" s="685" t="s">
        <v>1352</v>
      </c>
      <c r="F246" s="683" t="s">
        <v>1266</v>
      </c>
      <c r="G246" s="166">
        <v>980000</v>
      </c>
      <c r="H246" s="673">
        <v>0</v>
      </c>
      <c r="I246" s="701">
        <f>1100000-1080000</f>
        <v>20000</v>
      </c>
      <c r="J246" s="675">
        <v>2</v>
      </c>
      <c r="K246" s="700"/>
    </row>
    <row r="247" spans="1:11" s="658" customFormat="1" ht="30.75" hidden="1">
      <c r="A247" s="881"/>
      <c r="B247" s="881"/>
      <c r="C247" s="881"/>
      <c r="D247" s="883"/>
      <c r="E247" s="672" t="s">
        <v>1353</v>
      </c>
      <c r="F247" s="683">
        <v>2020</v>
      </c>
      <c r="G247" s="166"/>
      <c r="H247" s="673">
        <v>0</v>
      </c>
      <c r="I247" s="701"/>
      <c r="J247" s="675">
        <v>100</v>
      </c>
      <c r="K247" s="700"/>
    </row>
    <row r="248" spans="1:11" s="658" customFormat="1" ht="46.5">
      <c r="A248" s="881"/>
      <c r="B248" s="881"/>
      <c r="C248" s="881"/>
      <c r="D248" s="883"/>
      <c r="E248" s="685" t="s">
        <v>1354</v>
      </c>
      <c r="F248" s="683">
        <v>2020</v>
      </c>
      <c r="G248" s="166">
        <v>240017.2</v>
      </c>
      <c r="H248" s="673">
        <v>0</v>
      </c>
      <c r="I248" s="701">
        <f>1160000-759982.8-150000-10000</f>
        <v>240017.19999999995</v>
      </c>
      <c r="J248" s="675">
        <v>100</v>
      </c>
      <c r="K248" s="700"/>
    </row>
    <row r="249" spans="1:11" s="658" customFormat="1" ht="15">
      <c r="A249" s="881"/>
      <c r="B249" s="881"/>
      <c r="C249" s="881"/>
      <c r="D249" s="883"/>
      <c r="E249" s="685" t="s">
        <v>1355</v>
      </c>
      <c r="F249" s="683">
        <v>2020</v>
      </c>
      <c r="G249" s="166">
        <v>120000</v>
      </c>
      <c r="H249" s="673">
        <v>0</v>
      </c>
      <c r="I249" s="701">
        <v>120000</v>
      </c>
      <c r="J249" s="675">
        <v>100</v>
      </c>
      <c r="K249" s="700"/>
    </row>
    <row r="250" spans="1:11" s="658" customFormat="1" ht="15">
      <c r="A250" s="881"/>
      <c r="B250" s="881"/>
      <c r="C250" s="881"/>
      <c r="D250" s="883"/>
      <c r="E250" s="685" t="s">
        <v>1356</v>
      </c>
      <c r="F250" s="683">
        <v>2020</v>
      </c>
      <c r="G250" s="166">
        <v>100000</v>
      </c>
      <c r="H250" s="673">
        <v>0</v>
      </c>
      <c r="I250" s="701">
        <v>100000</v>
      </c>
      <c r="J250" s="675">
        <v>100</v>
      </c>
      <c r="K250" s="700"/>
    </row>
    <row r="251" spans="1:11" s="658" customFormat="1" ht="15">
      <c r="A251" s="881"/>
      <c r="B251" s="881"/>
      <c r="C251" s="881"/>
      <c r="D251" s="883"/>
      <c r="E251" s="685" t="s">
        <v>1357</v>
      </c>
      <c r="F251" s="683" t="s">
        <v>1229</v>
      </c>
      <c r="G251" s="166">
        <f>1500000+1255550</f>
        <v>2755550</v>
      </c>
      <c r="H251" s="673">
        <v>25.7</v>
      </c>
      <c r="I251" s="701">
        <f>1500000+547307.6</f>
        <v>2047307.6</v>
      </c>
      <c r="J251" s="675">
        <v>100</v>
      </c>
      <c r="K251" s="700"/>
    </row>
    <row r="252" spans="1:11" s="658" customFormat="1" ht="15">
      <c r="A252" s="881"/>
      <c r="B252" s="881"/>
      <c r="C252" s="881"/>
      <c r="D252" s="883"/>
      <c r="E252" s="682" t="s">
        <v>1358</v>
      </c>
      <c r="F252" s="683">
        <v>2020</v>
      </c>
      <c r="G252" s="166">
        <v>800000</v>
      </c>
      <c r="H252" s="673">
        <v>0</v>
      </c>
      <c r="I252" s="166">
        <f>900000-100000</f>
        <v>800000</v>
      </c>
      <c r="J252" s="675">
        <v>100</v>
      </c>
      <c r="K252" s="700"/>
    </row>
    <row r="253" spans="1:11" s="658" customFormat="1" ht="15">
      <c r="A253" s="881"/>
      <c r="B253" s="881"/>
      <c r="C253" s="881"/>
      <c r="D253" s="883"/>
      <c r="E253" s="682" t="s">
        <v>1359</v>
      </c>
      <c r="F253" s="683" t="s">
        <v>1229</v>
      </c>
      <c r="G253" s="166">
        <v>1344000</v>
      </c>
      <c r="H253" s="673">
        <v>99</v>
      </c>
      <c r="I253" s="166">
        <v>17510</v>
      </c>
      <c r="J253" s="675">
        <v>100</v>
      </c>
      <c r="K253" s="700"/>
    </row>
    <row r="254" spans="1:11" s="658" customFormat="1" ht="46.5">
      <c r="A254" s="881"/>
      <c r="B254" s="881"/>
      <c r="C254" s="881"/>
      <c r="D254" s="883"/>
      <c r="E254" s="685" t="s">
        <v>1360</v>
      </c>
      <c r="F254" s="683" t="s">
        <v>1266</v>
      </c>
      <c r="G254" s="166">
        <v>1200000</v>
      </c>
      <c r="H254" s="673">
        <v>0</v>
      </c>
      <c r="I254" s="166">
        <v>5000</v>
      </c>
      <c r="J254" s="675">
        <v>0.4</v>
      </c>
      <c r="K254" s="700"/>
    </row>
    <row r="255" spans="1:11" s="658" customFormat="1" ht="46.5">
      <c r="A255" s="881"/>
      <c r="B255" s="881"/>
      <c r="C255" s="881"/>
      <c r="D255" s="883"/>
      <c r="E255" s="685" t="s">
        <v>1361</v>
      </c>
      <c r="F255" s="683" t="s">
        <v>1229</v>
      </c>
      <c r="G255" s="166">
        <v>294965</v>
      </c>
      <c r="H255" s="673">
        <v>0.5</v>
      </c>
      <c r="I255" s="166">
        <v>293600</v>
      </c>
      <c r="J255" s="675">
        <v>100</v>
      </c>
      <c r="K255" s="700"/>
    </row>
    <row r="256" spans="1:11" s="658" customFormat="1" ht="15">
      <c r="A256" s="881"/>
      <c r="B256" s="881"/>
      <c r="C256" s="881"/>
      <c r="D256" s="883"/>
      <c r="E256" s="685" t="s">
        <v>1362</v>
      </c>
      <c r="F256" s="683">
        <v>2020</v>
      </c>
      <c r="G256" s="166">
        <v>1500000</v>
      </c>
      <c r="H256" s="673">
        <v>0</v>
      </c>
      <c r="I256" s="166">
        <v>1500000</v>
      </c>
      <c r="J256" s="675">
        <v>100</v>
      </c>
      <c r="K256" s="700"/>
    </row>
    <row r="257" spans="1:11" s="658" customFormat="1" ht="15">
      <c r="A257" s="881"/>
      <c r="B257" s="881"/>
      <c r="C257" s="881"/>
      <c r="D257" s="883"/>
      <c r="E257" s="685" t="s">
        <v>1363</v>
      </c>
      <c r="F257" s="683">
        <v>2020</v>
      </c>
      <c r="G257" s="166">
        <v>1250000</v>
      </c>
      <c r="H257" s="673">
        <v>0</v>
      </c>
      <c r="I257" s="166">
        <f>1000000+250000</f>
        <v>1250000</v>
      </c>
      <c r="J257" s="675">
        <v>100</v>
      </c>
      <c r="K257" s="700"/>
    </row>
    <row r="258" spans="1:11" s="658" customFormat="1" ht="15">
      <c r="A258" s="881"/>
      <c r="B258" s="881"/>
      <c r="C258" s="881"/>
      <c r="D258" s="883"/>
      <c r="E258" s="685" t="s">
        <v>1364</v>
      </c>
      <c r="F258" s="683" t="s">
        <v>1288</v>
      </c>
      <c r="G258" s="166">
        <v>1370671</v>
      </c>
      <c r="H258" s="673">
        <v>79.7</v>
      </c>
      <c r="I258" s="166">
        <v>278001.5</v>
      </c>
      <c r="J258" s="675">
        <v>100</v>
      </c>
      <c r="K258" s="700"/>
    </row>
    <row r="259" spans="1:11" s="658" customFormat="1" ht="15">
      <c r="A259" s="881"/>
      <c r="B259" s="881"/>
      <c r="C259" s="881"/>
      <c r="D259" s="883"/>
      <c r="E259" s="685" t="s">
        <v>1365</v>
      </c>
      <c r="F259" s="683">
        <v>2020</v>
      </c>
      <c r="G259" s="166">
        <v>1500000</v>
      </c>
      <c r="H259" s="673">
        <v>0</v>
      </c>
      <c r="I259" s="166">
        <v>1500000</v>
      </c>
      <c r="J259" s="675">
        <v>100</v>
      </c>
      <c r="K259" s="700"/>
    </row>
    <row r="260" spans="1:11" s="658" customFormat="1" ht="30.75">
      <c r="A260" s="881"/>
      <c r="B260" s="881"/>
      <c r="C260" s="881"/>
      <c r="D260" s="883"/>
      <c r="E260" s="685" t="s">
        <v>1366</v>
      </c>
      <c r="F260" s="683" t="s">
        <v>1229</v>
      </c>
      <c r="G260" s="686">
        <v>1595085</v>
      </c>
      <c r="H260" s="673">
        <v>49</v>
      </c>
      <c r="I260" s="166">
        <v>809160</v>
      </c>
      <c r="J260" s="675">
        <v>100</v>
      </c>
      <c r="K260" s="700"/>
    </row>
    <row r="261" spans="1:11" s="658" customFormat="1" ht="15">
      <c r="A261" s="881"/>
      <c r="B261" s="881"/>
      <c r="C261" s="881"/>
      <c r="D261" s="883"/>
      <c r="E261" s="685" t="s">
        <v>1367</v>
      </c>
      <c r="F261" s="683">
        <v>2020</v>
      </c>
      <c r="G261" s="686">
        <v>1200000</v>
      </c>
      <c r="H261" s="673">
        <v>0</v>
      </c>
      <c r="I261" s="166">
        <v>1200000</v>
      </c>
      <c r="J261" s="675">
        <v>100</v>
      </c>
      <c r="K261" s="700"/>
    </row>
    <row r="262" spans="1:11" s="658" customFormat="1" ht="30.75">
      <c r="A262" s="881"/>
      <c r="B262" s="881"/>
      <c r="C262" s="881"/>
      <c r="D262" s="883"/>
      <c r="E262" s="685" t="s">
        <v>1368</v>
      </c>
      <c r="F262" s="683">
        <v>2020</v>
      </c>
      <c r="G262" s="166">
        <v>1340000</v>
      </c>
      <c r="H262" s="673">
        <v>0</v>
      </c>
      <c r="I262" s="166">
        <v>1340000</v>
      </c>
      <c r="J262" s="675">
        <v>100</v>
      </c>
      <c r="K262" s="700"/>
    </row>
    <row r="263" spans="1:11" s="658" customFormat="1" ht="15">
      <c r="A263" s="881"/>
      <c r="B263" s="881"/>
      <c r="C263" s="881"/>
      <c r="D263" s="883"/>
      <c r="E263" s="682" t="s">
        <v>1369</v>
      </c>
      <c r="F263" s="683" t="s">
        <v>1229</v>
      </c>
      <c r="G263" s="166">
        <v>600000</v>
      </c>
      <c r="H263" s="673">
        <v>81</v>
      </c>
      <c r="I263" s="166">
        <v>112851.36</v>
      </c>
      <c r="J263" s="675">
        <v>100</v>
      </c>
      <c r="K263" s="700"/>
    </row>
    <row r="264" spans="1:11" s="658" customFormat="1" ht="15">
      <c r="A264" s="881"/>
      <c r="B264" s="881"/>
      <c r="C264" s="881"/>
      <c r="D264" s="883"/>
      <c r="E264" s="682" t="s">
        <v>1370</v>
      </c>
      <c r="F264" s="683">
        <v>2020</v>
      </c>
      <c r="G264" s="166">
        <v>100000</v>
      </c>
      <c r="H264" s="673">
        <v>0</v>
      </c>
      <c r="I264" s="166">
        <v>100000</v>
      </c>
      <c r="J264" s="675">
        <v>100</v>
      </c>
      <c r="K264" s="700"/>
    </row>
    <row r="265" spans="1:11" s="658" customFormat="1" ht="15">
      <c r="A265" s="881"/>
      <c r="B265" s="881"/>
      <c r="C265" s="881"/>
      <c r="D265" s="883"/>
      <c r="E265" s="685" t="s">
        <v>1371</v>
      </c>
      <c r="F265" s="683">
        <v>2020</v>
      </c>
      <c r="G265" s="166">
        <v>1000000</v>
      </c>
      <c r="H265" s="673">
        <v>0</v>
      </c>
      <c r="I265" s="166">
        <v>1000000</v>
      </c>
      <c r="J265" s="675">
        <v>100</v>
      </c>
      <c r="K265" s="700"/>
    </row>
    <row r="266" spans="1:11" s="658" customFormat="1" ht="15">
      <c r="A266" s="881"/>
      <c r="B266" s="881"/>
      <c r="C266" s="881"/>
      <c r="D266" s="883"/>
      <c r="E266" s="685" t="s">
        <v>1372</v>
      </c>
      <c r="F266" s="683">
        <v>2020</v>
      </c>
      <c r="G266" s="166">
        <v>1000000</v>
      </c>
      <c r="H266" s="673">
        <v>0</v>
      </c>
      <c r="I266" s="166">
        <v>1000000</v>
      </c>
      <c r="J266" s="675">
        <v>100</v>
      </c>
      <c r="K266" s="700"/>
    </row>
    <row r="267" spans="1:11" s="658" customFormat="1" ht="15" hidden="1">
      <c r="A267" s="881"/>
      <c r="B267" s="881"/>
      <c r="C267" s="881"/>
      <c r="D267" s="883"/>
      <c r="E267" s="685" t="s">
        <v>1373</v>
      </c>
      <c r="F267" s="683">
        <v>2020</v>
      </c>
      <c r="G267" s="166"/>
      <c r="H267" s="673">
        <v>0</v>
      </c>
      <c r="I267" s="166"/>
      <c r="J267" s="675">
        <v>100</v>
      </c>
      <c r="K267" s="700"/>
    </row>
    <row r="268" spans="1:11" s="658" customFormat="1" ht="30.75">
      <c r="A268" s="881"/>
      <c r="B268" s="881"/>
      <c r="C268" s="881"/>
      <c r="D268" s="883"/>
      <c r="E268" s="687" t="s">
        <v>1374</v>
      </c>
      <c r="F268" s="683" t="s">
        <v>1229</v>
      </c>
      <c r="G268" s="166">
        <v>2000000</v>
      </c>
      <c r="H268" s="673">
        <v>47</v>
      </c>
      <c r="I268" s="166">
        <v>940070</v>
      </c>
      <c r="J268" s="675">
        <v>100</v>
      </c>
      <c r="K268" s="700"/>
    </row>
    <row r="269" spans="1:11" s="658" customFormat="1" ht="15">
      <c r="A269" s="881"/>
      <c r="B269" s="881"/>
      <c r="C269" s="881"/>
      <c r="D269" s="883"/>
      <c r="E269" s="682" t="s">
        <v>1375</v>
      </c>
      <c r="F269" s="683" t="s">
        <v>1229</v>
      </c>
      <c r="G269" s="166">
        <v>700000</v>
      </c>
      <c r="H269" s="673">
        <v>61</v>
      </c>
      <c r="I269" s="166">
        <v>268840</v>
      </c>
      <c r="J269" s="675">
        <v>100</v>
      </c>
      <c r="K269" s="700"/>
    </row>
    <row r="270" spans="1:11" s="658" customFormat="1" ht="15">
      <c r="A270" s="881"/>
      <c r="B270" s="881"/>
      <c r="C270" s="881"/>
      <c r="D270" s="883"/>
      <c r="E270" s="682" t="s">
        <v>1376</v>
      </c>
      <c r="F270" s="683">
        <v>2020</v>
      </c>
      <c r="G270" s="166">
        <v>1292458</v>
      </c>
      <c r="H270" s="673">
        <v>0</v>
      </c>
      <c r="I270" s="166">
        <v>1292458</v>
      </c>
      <c r="J270" s="675">
        <v>100</v>
      </c>
      <c r="K270" s="700"/>
    </row>
    <row r="271" spans="1:11" s="658" customFormat="1" ht="46.5">
      <c r="A271" s="881"/>
      <c r="B271" s="881"/>
      <c r="C271" s="881"/>
      <c r="D271" s="883"/>
      <c r="E271" s="685" t="s">
        <v>1377</v>
      </c>
      <c r="F271" s="683" t="s">
        <v>1378</v>
      </c>
      <c r="G271" s="704">
        <v>9202313</v>
      </c>
      <c r="H271" s="673">
        <v>89.1</v>
      </c>
      <c r="I271" s="704">
        <v>1000000</v>
      </c>
      <c r="J271" s="675">
        <v>100</v>
      </c>
      <c r="K271" s="700"/>
    </row>
    <row r="272" spans="1:11" s="658" customFormat="1" ht="30.75">
      <c r="A272" s="903"/>
      <c r="B272" s="903"/>
      <c r="C272" s="903"/>
      <c r="D272" s="904"/>
      <c r="E272" s="685" t="s">
        <v>1379</v>
      </c>
      <c r="F272" s="683">
        <v>2020</v>
      </c>
      <c r="G272" s="704">
        <v>360000</v>
      </c>
      <c r="H272" s="673">
        <v>0</v>
      </c>
      <c r="I272" s="704">
        <v>360000</v>
      </c>
      <c r="J272" s="675">
        <v>100</v>
      </c>
      <c r="K272" s="700"/>
    </row>
    <row r="273" spans="1:10" s="658" customFormat="1" ht="15" customHeight="1">
      <c r="A273" s="880" t="s">
        <v>480</v>
      </c>
      <c r="B273" s="880" t="s">
        <v>501</v>
      </c>
      <c r="C273" s="880" t="s">
        <v>758</v>
      </c>
      <c r="D273" s="882" t="s">
        <v>483</v>
      </c>
      <c r="E273" s="682"/>
      <c r="F273" s="166"/>
      <c r="G273" s="686"/>
      <c r="H273" s="673"/>
      <c r="I273" s="674">
        <f>SUM(I274:I281)</f>
        <v>3977878</v>
      </c>
      <c r="J273" s="675"/>
    </row>
    <row r="274" spans="1:10" s="658" customFormat="1" ht="30.75">
      <c r="A274" s="881"/>
      <c r="B274" s="881"/>
      <c r="C274" s="881"/>
      <c r="D274" s="883"/>
      <c r="E274" s="685" t="s">
        <v>1347</v>
      </c>
      <c r="F274" s="683">
        <v>2020</v>
      </c>
      <c r="G274" s="166">
        <v>800000</v>
      </c>
      <c r="H274" s="673">
        <v>0</v>
      </c>
      <c r="I274" s="166">
        <f>300000+500000-300000</f>
        <v>500000</v>
      </c>
      <c r="J274" s="675">
        <v>100</v>
      </c>
    </row>
    <row r="275" spans="1:10" s="658" customFormat="1" ht="30.75" hidden="1">
      <c r="A275" s="881"/>
      <c r="B275" s="881"/>
      <c r="C275" s="881"/>
      <c r="D275" s="883"/>
      <c r="E275" s="682" t="s">
        <v>1348</v>
      </c>
      <c r="F275" s="683" t="s">
        <v>1229</v>
      </c>
      <c r="G275" s="166">
        <v>300000</v>
      </c>
      <c r="H275" s="673">
        <v>82</v>
      </c>
      <c r="I275" s="166"/>
      <c r="J275" s="675">
        <v>100</v>
      </c>
    </row>
    <row r="276" spans="1:10" s="658" customFormat="1" ht="30.75" hidden="1">
      <c r="A276" s="881"/>
      <c r="B276" s="881"/>
      <c r="C276" s="881"/>
      <c r="D276" s="883"/>
      <c r="E276" s="682" t="s">
        <v>1349</v>
      </c>
      <c r="F276" s="683" t="s">
        <v>1229</v>
      </c>
      <c r="G276" s="166">
        <v>1190000</v>
      </c>
      <c r="H276" s="673">
        <v>61</v>
      </c>
      <c r="I276" s="166"/>
      <c r="J276" s="675">
        <v>100</v>
      </c>
    </row>
    <row r="277" spans="1:10" s="658" customFormat="1" ht="30.75" hidden="1">
      <c r="A277" s="881"/>
      <c r="B277" s="881"/>
      <c r="C277" s="881"/>
      <c r="D277" s="883"/>
      <c r="E277" s="682" t="s">
        <v>1350</v>
      </c>
      <c r="F277" s="683" t="s">
        <v>1229</v>
      </c>
      <c r="G277" s="166">
        <v>300000</v>
      </c>
      <c r="H277" s="673">
        <v>54</v>
      </c>
      <c r="I277" s="166"/>
      <c r="J277" s="675">
        <v>100</v>
      </c>
    </row>
    <row r="278" spans="1:10" s="658" customFormat="1" ht="30.75" hidden="1">
      <c r="A278" s="881"/>
      <c r="B278" s="881"/>
      <c r="C278" s="881"/>
      <c r="D278" s="883"/>
      <c r="E278" s="682" t="s">
        <v>1351</v>
      </c>
      <c r="F278" s="683">
        <v>2020</v>
      </c>
      <c r="G278" s="166">
        <v>990000</v>
      </c>
      <c r="H278" s="673">
        <v>0</v>
      </c>
      <c r="I278" s="166"/>
      <c r="J278" s="675">
        <v>100</v>
      </c>
    </row>
    <row r="279" spans="1:10" s="658" customFormat="1" ht="15">
      <c r="A279" s="881"/>
      <c r="B279" s="881"/>
      <c r="C279" s="881"/>
      <c r="D279" s="883"/>
      <c r="E279" s="685" t="s">
        <v>1380</v>
      </c>
      <c r="F279" s="683">
        <v>2020</v>
      </c>
      <c r="G279" s="166">
        <v>3200000</v>
      </c>
      <c r="H279" s="673">
        <v>0</v>
      </c>
      <c r="I279" s="166">
        <v>3200000</v>
      </c>
      <c r="J279" s="675">
        <v>100</v>
      </c>
    </row>
    <row r="280" spans="1:10" s="658" customFormat="1" ht="15">
      <c r="A280" s="881"/>
      <c r="B280" s="881"/>
      <c r="C280" s="881"/>
      <c r="D280" s="883"/>
      <c r="E280" s="685" t="s">
        <v>1381</v>
      </c>
      <c r="F280" s="683">
        <v>2020</v>
      </c>
      <c r="G280" s="166">
        <v>192721</v>
      </c>
      <c r="H280" s="673">
        <v>0</v>
      </c>
      <c r="I280" s="166">
        <v>192721</v>
      </c>
      <c r="J280" s="675">
        <v>100</v>
      </c>
    </row>
    <row r="281" spans="1:10" s="658" customFormat="1" ht="15">
      <c r="A281" s="903"/>
      <c r="B281" s="903"/>
      <c r="C281" s="903"/>
      <c r="D281" s="904"/>
      <c r="E281" s="685" t="s">
        <v>1352</v>
      </c>
      <c r="F281" s="683" t="s">
        <v>1266</v>
      </c>
      <c r="G281" s="166">
        <v>943800</v>
      </c>
      <c r="H281" s="673">
        <v>0</v>
      </c>
      <c r="I281" s="166">
        <f>1100000+85157-1100000</f>
        <v>85157</v>
      </c>
      <c r="J281" s="675">
        <v>9</v>
      </c>
    </row>
    <row r="282" spans="1:10" s="658" customFormat="1" ht="15">
      <c r="A282" s="867" t="s">
        <v>481</v>
      </c>
      <c r="B282" s="867" t="s">
        <v>474</v>
      </c>
      <c r="C282" s="867" t="s">
        <v>758</v>
      </c>
      <c r="D282" s="868" t="s">
        <v>475</v>
      </c>
      <c r="E282" s="699"/>
      <c r="F282" s="166"/>
      <c r="G282" s="686"/>
      <c r="H282" s="673"/>
      <c r="I282" s="674">
        <f>SUM(I283:I286)</f>
        <v>1203955.56</v>
      </c>
      <c r="J282" s="675"/>
    </row>
    <row r="283" spans="1:10" s="658" customFormat="1" ht="30.75">
      <c r="A283" s="867"/>
      <c r="B283" s="867"/>
      <c r="C283" s="867"/>
      <c r="D283" s="868"/>
      <c r="E283" s="682" t="s">
        <v>1382</v>
      </c>
      <c r="F283" s="683" t="s">
        <v>1229</v>
      </c>
      <c r="G283" s="166">
        <v>370000</v>
      </c>
      <c r="H283" s="673">
        <v>43</v>
      </c>
      <c r="I283" s="166">
        <v>210296.78</v>
      </c>
      <c r="J283" s="675">
        <v>100</v>
      </c>
    </row>
    <row r="284" spans="1:10" s="658" customFormat="1" ht="46.5">
      <c r="A284" s="867"/>
      <c r="B284" s="867"/>
      <c r="C284" s="867"/>
      <c r="D284" s="868"/>
      <c r="E284" s="682" t="s">
        <v>1383</v>
      </c>
      <c r="F284" s="683">
        <v>2020</v>
      </c>
      <c r="G284" s="166">
        <v>35000</v>
      </c>
      <c r="H284" s="673">
        <v>0</v>
      </c>
      <c r="I284" s="166">
        <v>35000</v>
      </c>
      <c r="J284" s="675">
        <v>100</v>
      </c>
    </row>
    <row r="285" spans="1:10" s="658" customFormat="1" ht="30.75">
      <c r="A285" s="867"/>
      <c r="B285" s="867"/>
      <c r="C285" s="867"/>
      <c r="D285" s="868"/>
      <c r="E285" s="682" t="s">
        <v>1384</v>
      </c>
      <c r="F285" s="683" t="s">
        <v>1229</v>
      </c>
      <c r="G285" s="166">
        <v>1490000</v>
      </c>
      <c r="H285" s="673">
        <v>99</v>
      </c>
      <c r="I285" s="166">
        <v>3158.78</v>
      </c>
      <c r="J285" s="675">
        <v>100</v>
      </c>
    </row>
    <row r="286" spans="1:10" s="658" customFormat="1" ht="30.75">
      <c r="A286" s="867"/>
      <c r="B286" s="867"/>
      <c r="C286" s="867"/>
      <c r="D286" s="868"/>
      <c r="E286" s="682" t="s">
        <v>1385</v>
      </c>
      <c r="F286" s="683" t="s">
        <v>1229</v>
      </c>
      <c r="G286" s="166">
        <v>1839500</v>
      </c>
      <c r="H286" s="673">
        <v>60</v>
      </c>
      <c r="I286" s="166">
        <v>955500</v>
      </c>
      <c r="J286" s="675">
        <v>100</v>
      </c>
    </row>
    <row r="287" spans="1:10" s="658" customFormat="1" ht="15">
      <c r="A287" s="880" t="s">
        <v>251</v>
      </c>
      <c r="B287" s="880" t="s">
        <v>1386</v>
      </c>
      <c r="C287" s="880" t="s">
        <v>411</v>
      </c>
      <c r="D287" s="882" t="s">
        <v>252</v>
      </c>
      <c r="E287" s="682"/>
      <c r="F287" s="166"/>
      <c r="G287" s="686"/>
      <c r="H287" s="673"/>
      <c r="I287" s="674">
        <f>I288</f>
        <v>2400000</v>
      </c>
      <c r="J287" s="675"/>
    </row>
    <row r="288" spans="1:10" ht="98.25" customHeight="1">
      <c r="A288" s="903"/>
      <c r="B288" s="903"/>
      <c r="C288" s="903"/>
      <c r="D288" s="904"/>
      <c r="E288" s="681" t="s">
        <v>1387</v>
      </c>
      <c r="F288" s="677"/>
      <c r="G288" s="99"/>
      <c r="H288" s="678"/>
      <c r="I288" s="99">
        <v>2400000</v>
      </c>
      <c r="J288" s="705"/>
    </row>
    <row r="289" spans="1:10" s="658" customFormat="1" ht="15">
      <c r="A289" s="867" t="s">
        <v>623</v>
      </c>
      <c r="B289" s="867" t="s">
        <v>1388</v>
      </c>
      <c r="C289" s="867" t="s">
        <v>411</v>
      </c>
      <c r="D289" s="868" t="s">
        <v>624</v>
      </c>
      <c r="E289" s="682"/>
      <c r="F289" s="166"/>
      <c r="G289" s="686"/>
      <c r="H289" s="673"/>
      <c r="I289" s="674">
        <f>SUM(I290:I295)</f>
        <v>2238486.3899999997</v>
      </c>
      <c r="J289" s="675"/>
    </row>
    <row r="290" spans="1:10" s="658" customFormat="1" ht="46.5">
      <c r="A290" s="867"/>
      <c r="B290" s="867"/>
      <c r="C290" s="867"/>
      <c r="D290" s="868"/>
      <c r="E290" s="682" t="s">
        <v>1389</v>
      </c>
      <c r="F290" s="683"/>
      <c r="G290" s="166"/>
      <c r="H290" s="673"/>
      <c r="I290" s="166">
        <f>179045.31-173830.39+173830.39</f>
        <v>179045.31</v>
      </c>
      <c r="J290" s="675"/>
    </row>
    <row r="291" spans="1:10" s="658" customFormat="1" ht="78">
      <c r="A291" s="867"/>
      <c r="B291" s="867"/>
      <c r="C291" s="867"/>
      <c r="D291" s="868"/>
      <c r="E291" s="682" t="s">
        <v>1390</v>
      </c>
      <c r="F291" s="683" t="s">
        <v>1229</v>
      </c>
      <c r="G291" s="166">
        <v>452189.54000000004</v>
      </c>
      <c r="H291" s="673">
        <v>97</v>
      </c>
      <c r="I291" s="166">
        <f>12240.08-8010.66+8010.66</f>
        <v>12240.08</v>
      </c>
      <c r="J291" s="675">
        <v>100</v>
      </c>
    </row>
    <row r="292" spans="1:10" s="658" customFormat="1" ht="78">
      <c r="A292" s="867"/>
      <c r="B292" s="867"/>
      <c r="C292" s="867"/>
      <c r="D292" s="868"/>
      <c r="E292" s="682" t="s">
        <v>1391</v>
      </c>
      <c r="F292" s="683" t="s">
        <v>1229</v>
      </c>
      <c r="G292" s="166">
        <v>450792.2</v>
      </c>
      <c r="H292" s="673">
        <v>99</v>
      </c>
      <c r="I292" s="166">
        <f>1428-1181.79+1181.79</f>
        <v>1428</v>
      </c>
      <c r="J292" s="675">
        <v>100</v>
      </c>
    </row>
    <row r="293" spans="1:10" s="658" customFormat="1" ht="78">
      <c r="A293" s="867"/>
      <c r="B293" s="867"/>
      <c r="C293" s="867"/>
      <c r="D293" s="868"/>
      <c r="E293" s="682" t="s">
        <v>1392</v>
      </c>
      <c r="F293" s="683" t="s">
        <v>1229</v>
      </c>
      <c r="G293" s="166">
        <v>450841.24</v>
      </c>
      <c r="H293" s="673">
        <v>99</v>
      </c>
      <c r="I293" s="166">
        <f>1458-895.63+895.63</f>
        <v>1458</v>
      </c>
      <c r="J293" s="675">
        <v>100</v>
      </c>
    </row>
    <row r="294" spans="1:10" s="658" customFormat="1" ht="62.25">
      <c r="A294" s="867"/>
      <c r="B294" s="867"/>
      <c r="C294" s="867"/>
      <c r="D294" s="868"/>
      <c r="E294" s="682" t="s">
        <v>1393</v>
      </c>
      <c r="F294" s="683">
        <v>2020</v>
      </c>
      <c r="G294" s="166">
        <v>1643108</v>
      </c>
      <c r="H294" s="673">
        <v>0</v>
      </c>
      <c r="I294" s="166">
        <v>1643108</v>
      </c>
      <c r="J294" s="675">
        <v>100</v>
      </c>
    </row>
    <row r="295" spans="1:10" s="658" customFormat="1" ht="78">
      <c r="A295" s="867"/>
      <c r="B295" s="867"/>
      <c r="C295" s="867"/>
      <c r="D295" s="868"/>
      <c r="E295" s="682" t="s">
        <v>1394</v>
      </c>
      <c r="F295" s="683" t="s">
        <v>1229</v>
      </c>
      <c r="G295" s="166">
        <v>1319743.9200000002</v>
      </c>
      <c r="H295" s="673">
        <v>70</v>
      </c>
      <c r="I295" s="166">
        <f>401207-1171.85+1171.85</f>
        <v>401207</v>
      </c>
      <c r="J295" s="675">
        <v>100</v>
      </c>
    </row>
    <row r="296" spans="1:10" s="658" customFormat="1" ht="15.75" customHeight="1">
      <c r="A296" s="880" t="s">
        <v>602</v>
      </c>
      <c r="B296" s="880" t="s">
        <v>499</v>
      </c>
      <c r="C296" s="882" t="s">
        <v>411</v>
      </c>
      <c r="D296" s="882" t="s">
        <v>500</v>
      </c>
      <c r="E296" s="682"/>
      <c r="F296" s="166"/>
      <c r="G296" s="686"/>
      <c r="H296" s="673"/>
      <c r="I296" s="674">
        <f>I297+I318</f>
        <v>8793356.719999999</v>
      </c>
      <c r="J296" s="675"/>
    </row>
    <row r="297" spans="1:10" s="658" customFormat="1" ht="33.75" customHeight="1">
      <c r="A297" s="881"/>
      <c r="B297" s="881"/>
      <c r="C297" s="883"/>
      <c r="D297" s="883"/>
      <c r="E297" s="699" t="s">
        <v>1395</v>
      </c>
      <c r="F297" s="166"/>
      <c r="G297" s="686"/>
      <c r="H297" s="673"/>
      <c r="I297" s="674">
        <f>SUM(I298:I317)</f>
        <v>8154632.72</v>
      </c>
      <c r="J297" s="675"/>
    </row>
    <row r="298" spans="1:10" s="658" customFormat="1" ht="36.75" customHeight="1">
      <c r="A298" s="881"/>
      <c r="B298" s="881"/>
      <c r="C298" s="883"/>
      <c r="D298" s="883"/>
      <c r="E298" s="682" t="s">
        <v>1396</v>
      </c>
      <c r="F298" s="166"/>
      <c r="G298" s="686"/>
      <c r="H298" s="673"/>
      <c r="I298" s="166">
        <v>190000</v>
      </c>
      <c r="J298" s="675"/>
    </row>
    <row r="299" spans="1:10" s="658" customFormat="1" ht="15">
      <c r="A299" s="881"/>
      <c r="B299" s="881"/>
      <c r="C299" s="883"/>
      <c r="D299" s="883"/>
      <c r="E299" s="682" t="s">
        <v>1397</v>
      </c>
      <c r="F299" s="683"/>
      <c r="G299" s="166"/>
      <c r="H299" s="673"/>
      <c r="I299" s="166">
        <v>400000</v>
      </c>
      <c r="J299" s="675"/>
    </row>
    <row r="300" spans="1:10" s="658" customFormat="1" ht="30.75">
      <c r="A300" s="881"/>
      <c r="B300" s="881"/>
      <c r="C300" s="883"/>
      <c r="D300" s="883"/>
      <c r="E300" s="682" t="s">
        <v>1398</v>
      </c>
      <c r="F300" s="683"/>
      <c r="G300" s="166"/>
      <c r="H300" s="673"/>
      <c r="I300" s="166">
        <v>221700</v>
      </c>
      <c r="J300" s="675"/>
    </row>
    <row r="301" spans="1:10" s="658" customFormat="1" ht="30.75">
      <c r="A301" s="881"/>
      <c r="B301" s="881"/>
      <c r="C301" s="883"/>
      <c r="D301" s="883"/>
      <c r="E301" s="682" t="s">
        <v>1399</v>
      </c>
      <c r="F301" s="683"/>
      <c r="G301" s="166"/>
      <c r="H301" s="673"/>
      <c r="I301" s="166">
        <v>110000</v>
      </c>
      <c r="J301" s="675"/>
    </row>
    <row r="302" spans="1:10" s="658" customFormat="1" ht="30.75">
      <c r="A302" s="881"/>
      <c r="B302" s="881"/>
      <c r="C302" s="883"/>
      <c r="D302" s="883"/>
      <c r="E302" s="682" t="s">
        <v>1400</v>
      </c>
      <c r="F302" s="683"/>
      <c r="G302" s="166"/>
      <c r="H302" s="673"/>
      <c r="I302" s="166">
        <v>17144.35</v>
      </c>
      <c r="J302" s="675"/>
    </row>
    <row r="303" spans="1:10" s="658" customFormat="1" ht="30.75">
      <c r="A303" s="881"/>
      <c r="B303" s="881"/>
      <c r="C303" s="883"/>
      <c r="D303" s="883"/>
      <c r="E303" s="682" t="s">
        <v>1401</v>
      </c>
      <c r="F303" s="683"/>
      <c r="G303" s="166"/>
      <c r="H303" s="673"/>
      <c r="I303" s="166">
        <v>29000</v>
      </c>
      <c r="J303" s="675"/>
    </row>
    <row r="304" spans="1:10" s="658" customFormat="1" ht="30.75">
      <c r="A304" s="881"/>
      <c r="B304" s="881"/>
      <c r="C304" s="883"/>
      <c r="D304" s="883"/>
      <c r="E304" s="682" t="s">
        <v>1402</v>
      </c>
      <c r="F304" s="683"/>
      <c r="G304" s="166"/>
      <c r="H304" s="673"/>
      <c r="I304" s="166">
        <v>70000</v>
      </c>
      <c r="J304" s="675"/>
    </row>
    <row r="305" spans="1:10" s="658" customFormat="1" ht="30.75">
      <c r="A305" s="881"/>
      <c r="B305" s="881"/>
      <c r="C305" s="883"/>
      <c r="D305" s="883"/>
      <c r="E305" s="682" t="s">
        <v>1403</v>
      </c>
      <c r="F305" s="683"/>
      <c r="G305" s="166"/>
      <c r="H305" s="673"/>
      <c r="I305" s="166">
        <v>20000</v>
      </c>
      <c r="J305" s="675"/>
    </row>
    <row r="306" spans="1:10" s="658" customFormat="1" ht="30.75">
      <c r="A306" s="881"/>
      <c r="B306" s="881"/>
      <c r="C306" s="883"/>
      <c r="D306" s="883"/>
      <c r="E306" s="682" t="s">
        <v>1404</v>
      </c>
      <c r="F306" s="683"/>
      <c r="G306" s="166"/>
      <c r="H306" s="673"/>
      <c r="I306" s="166">
        <v>40000</v>
      </c>
      <c r="J306" s="675"/>
    </row>
    <row r="307" spans="1:10" s="658" customFormat="1" ht="30.75">
      <c r="A307" s="881"/>
      <c r="B307" s="881"/>
      <c r="C307" s="883"/>
      <c r="D307" s="883"/>
      <c r="E307" s="682" t="s">
        <v>1405</v>
      </c>
      <c r="F307" s="683"/>
      <c r="G307" s="166"/>
      <c r="H307" s="673"/>
      <c r="I307" s="166">
        <v>280000</v>
      </c>
      <c r="J307" s="675"/>
    </row>
    <row r="308" spans="1:10" s="658" customFormat="1" ht="30.75">
      <c r="A308" s="881"/>
      <c r="B308" s="881"/>
      <c r="C308" s="883"/>
      <c r="D308" s="883"/>
      <c r="E308" s="682" t="s">
        <v>1406</v>
      </c>
      <c r="F308" s="683"/>
      <c r="G308" s="166"/>
      <c r="H308" s="673"/>
      <c r="I308" s="166">
        <v>40000</v>
      </c>
      <c r="J308" s="675"/>
    </row>
    <row r="309" spans="1:10" s="658" customFormat="1" ht="15">
      <c r="A309" s="881"/>
      <c r="B309" s="881"/>
      <c r="C309" s="883"/>
      <c r="D309" s="883"/>
      <c r="E309" s="682" t="s">
        <v>1407</v>
      </c>
      <c r="F309" s="683"/>
      <c r="G309" s="686"/>
      <c r="H309" s="673"/>
      <c r="I309" s="686">
        <v>2500000</v>
      </c>
      <c r="J309" s="675"/>
    </row>
    <row r="310" spans="1:10" s="658" customFormat="1" ht="46.5">
      <c r="A310" s="881"/>
      <c r="B310" s="881"/>
      <c r="C310" s="883"/>
      <c r="D310" s="883"/>
      <c r="E310" s="682" t="s">
        <v>1408</v>
      </c>
      <c r="F310" s="683" t="s">
        <v>1229</v>
      </c>
      <c r="G310" s="166">
        <v>988000</v>
      </c>
      <c r="H310" s="673">
        <v>50</v>
      </c>
      <c r="I310" s="166">
        <v>494418.2</v>
      </c>
      <c r="J310" s="675">
        <v>100</v>
      </c>
    </row>
    <row r="311" spans="1:10" s="658" customFormat="1" ht="46.5">
      <c r="A311" s="881"/>
      <c r="B311" s="881"/>
      <c r="C311" s="883"/>
      <c r="D311" s="883"/>
      <c r="E311" s="682" t="s">
        <v>1409</v>
      </c>
      <c r="F311" s="683">
        <v>2020</v>
      </c>
      <c r="G311" s="166">
        <v>1000000</v>
      </c>
      <c r="H311" s="673">
        <v>0</v>
      </c>
      <c r="I311" s="166">
        <v>1000000</v>
      </c>
      <c r="J311" s="675">
        <v>100</v>
      </c>
    </row>
    <row r="312" spans="1:10" s="658" customFormat="1" ht="63" customHeight="1" hidden="1">
      <c r="A312" s="881"/>
      <c r="B312" s="881"/>
      <c r="C312" s="883"/>
      <c r="D312" s="883"/>
      <c r="E312" s="682" t="s">
        <v>1410</v>
      </c>
      <c r="F312" s="683" t="s">
        <v>1229</v>
      </c>
      <c r="G312" s="166">
        <v>768000</v>
      </c>
      <c r="H312" s="673">
        <v>98</v>
      </c>
      <c r="I312" s="166">
        <f>17144.35-17144.35</f>
        <v>0</v>
      </c>
      <c r="J312" s="675">
        <v>100</v>
      </c>
    </row>
    <row r="313" spans="1:10" s="658" customFormat="1" ht="30.75">
      <c r="A313" s="881"/>
      <c r="B313" s="881"/>
      <c r="C313" s="883"/>
      <c r="D313" s="883"/>
      <c r="E313" s="682" t="s">
        <v>1411</v>
      </c>
      <c r="F313" s="683" t="s">
        <v>1229</v>
      </c>
      <c r="G313" s="166">
        <v>2333000</v>
      </c>
      <c r="H313" s="673">
        <v>50</v>
      </c>
      <c r="I313" s="166">
        <v>1146377.5</v>
      </c>
      <c r="J313" s="675">
        <v>100</v>
      </c>
    </row>
    <row r="314" spans="1:10" s="658" customFormat="1" ht="46.5">
      <c r="A314" s="881"/>
      <c r="B314" s="881"/>
      <c r="C314" s="883"/>
      <c r="D314" s="883"/>
      <c r="E314" s="682" t="s">
        <v>1412</v>
      </c>
      <c r="F314" s="683" t="s">
        <v>1229</v>
      </c>
      <c r="G314" s="166">
        <v>1798000</v>
      </c>
      <c r="H314" s="673">
        <v>88</v>
      </c>
      <c r="I314" s="166">
        <f>604860.64-399000</f>
        <v>205860.64</v>
      </c>
      <c r="J314" s="675">
        <v>100</v>
      </c>
    </row>
    <row r="315" spans="1:10" s="658" customFormat="1" ht="46.5">
      <c r="A315" s="881"/>
      <c r="B315" s="881"/>
      <c r="C315" s="883"/>
      <c r="D315" s="883"/>
      <c r="E315" s="682" t="s">
        <v>1413</v>
      </c>
      <c r="F315" s="683" t="s">
        <v>1229</v>
      </c>
      <c r="G315" s="166">
        <v>1490000</v>
      </c>
      <c r="H315" s="673">
        <v>76</v>
      </c>
      <c r="I315" s="166">
        <v>359992.2</v>
      </c>
      <c r="J315" s="675">
        <v>100</v>
      </c>
    </row>
    <row r="316" spans="1:10" s="658" customFormat="1" ht="30.75">
      <c r="A316" s="881"/>
      <c r="B316" s="881"/>
      <c r="C316" s="883"/>
      <c r="D316" s="883"/>
      <c r="E316" s="682" t="s">
        <v>1414</v>
      </c>
      <c r="F316" s="683" t="s">
        <v>1229</v>
      </c>
      <c r="G316" s="166">
        <v>1450000</v>
      </c>
      <c r="H316" s="673">
        <v>50</v>
      </c>
      <c r="I316" s="166">
        <v>730139.83</v>
      </c>
      <c r="J316" s="675">
        <v>100</v>
      </c>
    </row>
    <row r="317" spans="1:10" s="658" customFormat="1" ht="30.75">
      <c r="A317" s="881"/>
      <c r="B317" s="881"/>
      <c r="C317" s="883"/>
      <c r="D317" s="883"/>
      <c r="E317" s="682" t="s">
        <v>1415</v>
      </c>
      <c r="F317" s="683">
        <v>2020</v>
      </c>
      <c r="G317" s="166">
        <v>300000</v>
      </c>
      <c r="H317" s="673">
        <v>0</v>
      </c>
      <c r="I317" s="166">
        <v>300000</v>
      </c>
      <c r="J317" s="675">
        <v>100</v>
      </c>
    </row>
    <row r="318" spans="1:10" s="658" customFormat="1" ht="30.75">
      <c r="A318" s="881"/>
      <c r="B318" s="881"/>
      <c r="C318" s="883"/>
      <c r="D318" s="883"/>
      <c r="E318" s="699" t="s">
        <v>1416</v>
      </c>
      <c r="F318" s="166"/>
      <c r="G318" s="686"/>
      <c r="H318" s="673"/>
      <c r="I318" s="674">
        <f>SUM(I319:I321)</f>
        <v>638724</v>
      </c>
      <c r="J318" s="675"/>
    </row>
    <row r="319" spans="1:10" s="658" customFormat="1" ht="62.25">
      <c r="A319" s="881"/>
      <c r="B319" s="881"/>
      <c r="C319" s="883"/>
      <c r="D319" s="883"/>
      <c r="E319" s="682" t="s">
        <v>1417</v>
      </c>
      <c r="F319" s="683" t="s">
        <v>1229</v>
      </c>
      <c r="G319" s="166">
        <v>630000</v>
      </c>
      <c r="H319" s="673">
        <v>50</v>
      </c>
      <c r="I319" s="166">
        <v>330000</v>
      </c>
      <c r="J319" s="675">
        <v>100</v>
      </c>
    </row>
    <row r="320" spans="1:10" s="658" customFormat="1" ht="30.75">
      <c r="A320" s="881"/>
      <c r="B320" s="881"/>
      <c r="C320" s="883"/>
      <c r="D320" s="883"/>
      <c r="E320" s="682" t="s">
        <v>1418</v>
      </c>
      <c r="F320" s="683" t="s">
        <v>1229</v>
      </c>
      <c r="G320" s="166">
        <v>516500</v>
      </c>
      <c r="H320" s="673">
        <v>99.3</v>
      </c>
      <c r="I320" s="166">
        <v>3805</v>
      </c>
      <c r="J320" s="675">
        <v>100</v>
      </c>
    </row>
    <row r="321" spans="1:10" s="658" customFormat="1" ht="46.5">
      <c r="A321" s="903"/>
      <c r="B321" s="903"/>
      <c r="C321" s="904"/>
      <c r="D321" s="904"/>
      <c r="E321" s="682" t="s">
        <v>1419</v>
      </c>
      <c r="F321" s="683" t="s">
        <v>1229</v>
      </c>
      <c r="G321" s="166">
        <v>1499838</v>
      </c>
      <c r="H321" s="673">
        <v>80</v>
      </c>
      <c r="I321" s="166">
        <v>304919</v>
      </c>
      <c r="J321" s="675">
        <v>100</v>
      </c>
    </row>
    <row r="322" spans="1:10" s="658" customFormat="1" ht="15">
      <c r="A322" s="880" t="s">
        <v>482</v>
      </c>
      <c r="B322" s="880" t="s">
        <v>1420</v>
      </c>
      <c r="C322" s="882">
        <v>180</v>
      </c>
      <c r="D322" s="882" t="s">
        <v>606</v>
      </c>
      <c r="E322" s="682"/>
      <c r="F322" s="683"/>
      <c r="G322" s="166"/>
      <c r="H322" s="673"/>
      <c r="I322" s="674">
        <f>I323</f>
        <v>200000</v>
      </c>
      <c r="J322" s="675"/>
    </row>
    <row r="323" spans="1:10" s="658" customFormat="1" ht="78">
      <c r="A323" s="903"/>
      <c r="B323" s="903"/>
      <c r="C323" s="904"/>
      <c r="D323" s="904"/>
      <c r="E323" s="682" t="s">
        <v>253</v>
      </c>
      <c r="F323" s="683"/>
      <c r="G323" s="166"/>
      <c r="H323" s="673"/>
      <c r="I323" s="166">
        <v>200000</v>
      </c>
      <c r="J323" s="675"/>
    </row>
    <row r="324" spans="1:10" ht="30.75">
      <c r="A324" s="663" t="s">
        <v>763</v>
      </c>
      <c r="B324" s="664"/>
      <c r="C324" s="665"/>
      <c r="D324" s="649" t="s">
        <v>1421</v>
      </c>
      <c r="E324" s="666"/>
      <c r="F324" s="667"/>
      <c r="G324" s="667"/>
      <c r="H324" s="668"/>
      <c r="I324" s="669">
        <f>I325</f>
        <v>102414312.31</v>
      </c>
      <c r="J324" s="670"/>
    </row>
    <row r="325" spans="1:10" ht="30.75">
      <c r="A325" s="663" t="s">
        <v>761</v>
      </c>
      <c r="B325" s="664"/>
      <c r="C325" s="665"/>
      <c r="D325" s="649" t="s">
        <v>1421</v>
      </c>
      <c r="E325" s="666"/>
      <c r="F325" s="667"/>
      <c r="G325" s="667"/>
      <c r="H325" s="668"/>
      <c r="I325" s="669">
        <f>I329+I326</f>
        <v>102414312.31</v>
      </c>
      <c r="J325" s="670"/>
    </row>
    <row r="326" spans="1:10" s="710" customFormat="1" ht="15" customHeight="1">
      <c r="A326" s="888" t="s">
        <v>570</v>
      </c>
      <c r="B326" s="891">
        <v>7363</v>
      </c>
      <c r="C326" s="888" t="s">
        <v>411</v>
      </c>
      <c r="D326" s="894" t="s">
        <v>624</v>
      </c>
      <c r="E326" s="706"/>
      <c r="F326" s="701"/>
      <c r="G326" s="701"/>
      <c r="H326" s="707"/>
      <c r="I326" s="708">
        <f>SUM(I327:I328)</f>
        <v>8705279</v>
      </c>
      <c r="J326" s="709"/>
    </row>
    <row r="327" spans="1:10" s="710" customFormat="1" ht="100.5" customHeight="1">
      <c r="A327" s="889"/>
      <c r="B327" s="892"/>
      <c r="C327" s="889"/>
      <c r="D327" s="895"/>
      <c r="E327" s="711" t="s">
        <v>1422</v>
      </c>
      <c r="F327" s="712">
        <v>2020</v>
      </c>
      <c r="G327" s="713">
        <v>6053279</v>
      </c>
      <c r="H327" s="714">
        <v>0</v>
      </c>
      <c r="I327" s="713">
        <v>6053279</v>
      </c>
      <c r="J327" s="715">
        <v>100</v>
      </c>
    </row>
    <row r="328" spans="1:10" s="710" customFormat="1" ht="102" customHeight="1">
      <c r="A328" s="890"/>
      <c r="B328" s="893"/>
      <c r="C328" s="890"/>
      <c r="D328" s="896"/>
      <c r="E328" s="711" t="s">
        <v>1423</v>
      </c>
      <c r="F328" s="712"/>
      <c r="G328" s="713"/>
      <c r="H328" s="714"/>
      <c r="I328" s="713">
        <v>2652000</v>
      </c>
      <c r="J328" s="715"/>
    </row>
    <row r="329" spans="1:10" ht="15" customHeight="1">
      <c r="A329" s="897" t="s">
        <v>625</v>
      </c>
      <c r="B329" s="897" t="s">
        <v>499</v>
      </c>
      <c r="C329" s="897" t="s">
        <v>411</v>
      </c>
      <c r="D329" s="900" t="s">
        <v>626</v>
      </c>
      <c r="E329" s="716"/>
      <c r="F329" s="99"/>
      <c r="G329" s="99"/>
      <c r="H329" s="678"/>
      <c r="I329" s="98">
        <f>I330+I335+I340+I344+I352+I354+I356+I358+I362+I360+I349+I364+I366</f>
        <v>93709033.31</v>
      </c>
      <c r="J329" s="705"/>
    </row>
    <row r="330" spans="1:10" ht="30.75">
      <c r="A330" s="898"/>
      <c r="B330" s="898"/>
      <c r="C330" s="898"/>
      <c r="D330" s="901"/>
      <c r="E330" s="717" t="s">
        <v>1424</v>
      </c>
      <c r="F330" s="718"/>
      <c r="G330" s="719"/>
      <c r="H330" s="644"/>
      <c r="I330" s="645">
        <f>SUM(I331:I334)</f>
        <v>17584513.2</v>
      </c>
      <c r="J330" s="646"/>
    </row>
    <row r="331" spans="1:10" ht="46.5">
      <c r="A331" s="898"/>
      <c r="B331" s="898"/>
      <c r="C331" s="898"/>
      <c r="D331" s="901"/>
      <c r="E331" s="682" t="s">
        <v>1425</v>
      </c>
      <c r="F331" s="712"/>
      <c r="G331" s="686"/>
      <c r="H331" s="697"/>
      <c r="I331" s="686">
        <f>2500000+1657680+10941560</f>
        <v>15099240</v>
      </c>
      <c r="J331" s="646"/>
    </row>
    <row r="332" spans="1:10" s="658" customFormat="1" ht="46.5">
      <c r="A332" s="898"/>
      <c r="B332" s="898"/>
      <c r="C332" s="898"/>
      <c r="D332" s="901"/>
      <c r="E332" s="682" t="s">
        <v>1426</v>
      </c>
      <c r="F332" s="712" t="s">
        <v>1229</v>
      </c>
      <c r="G332" s="686">
        <v>1461965.5</v>
      </c>
      <c r="H332" s="697">
        <v>43</v>
      </c>
      <c r="I332" s="686">
        <v>622647.2</v>
      </c>
      <c r="J332" s="684">
        <v>100</v>
      </c>
    </row>
    <row r="333" spans="1:10" s="658" customFormat="1" ht="53.25" customHeight="1">
      <c r="A333" s="898"/>
      <c r="B333" s="898"/>
      <c r="C333" s="898"/>
      <c r="D333" s="901"/>
      <c r="E333" s="682" t="s">
        <v>1427</v>
      </c>
      <c r="F333" s="712">
        <v>2020</v>
      </c>
      <c r="G333" s="686">
        <v>412626</v>
      </c>
      <c r="H333" s="697">
        <v>0</v>
      </c>
      <c r="I333" s="686">
        <v>412626</v>
      </c>
      <c r="J333" s="684">
        <v>100</v>
      </c>
    </row>
    <row r="334" spans="1:10" s="658" customFormat="1" ht="46.5">
      <c r="A334" s="898"/>
      <c r="B334" s="898"/>
      <c r="C334" s="898"/>
      <c r="D334" s="901"/>
      <c r="E334" s="682" t="s">
        <v>1428</v>
      </c>
      <c r="F334" s="712" t="s">
        <v>1266</v>
      </c>
      <c r="G334" s="686">
        <v>3066096</v>
      </c>
      <c r="H334" s="697">
        <v>0</v>
      </c>
      <c r="I334" s="686">
        <v>1450000</v>
      </c>
      <c r="J334" s="684">
        <v>47</v>
      </c>
    </row>
    <row r="335" spans="1:10" s="658" customFormat="1" ht="30.75">
      <c r="A335" s="898"/>
      <c r="B335" s="898"/>
      <c r="C335" s="898"/>
      <c r="D335" s="901"/>
      <c r="E335" s="699" t="s">
        <v>1429</v>
      </c>
      <c r="F335" s="712"/>
      <c r="G335" s="686"/>
      <c r="H335" s="697"/>
      <c r="I335" s="657">
        <f>SUM(I336:I339)</f>
        <v>1849240</v>
      </c>
      <c r="J335" s="684"/>
    </row>
    <row r="336" spans="1:10" s="658" customFormat="1" ht="30.75">
      <c r="A336" s="898"/>
      <c r="B336" s="898"/>
      <c r="C336" s="898"/>
      <c r="D336" s="901"/>
      <c r="E336" s="682" t="s">
        <v>1430</v>
      </c>
      <c r="F336" s="712"/>
      <c r="G336" s="686"/>
      <c r="H336" s="697"/>
      <c r="I336" s="686">
        <v>124700</v>
      </c>
      <c r="J336" s="684"/>
    </row>
    <row r="337" spans="1:10" s="658" customFormat="1" ht="46.5">
      <c r="A337" s="898"/>
      <c r="B337" s="898"/>
      <c r="C337" s="898"/>
      <c r="D337" s="901"/>
      <c r="E337" s="682" t="s">
        <v>1431</v>
      </c>
      <c r="F337" s="712">
        <v>2020</v>
      </c>
      <c r="G337" s="686">
        <v>186540</v>
      </c>
      <c r="H337" s="697">
        <v>0</v>
      </c>
      <c r="I337" s="686">
        <v>186540</v>
      </c>
      <c r="J337" s="684">
        <v>100</v>
      </c>
    </row>
    <row r="338" spans="1:10" s="658" customFormat="1" ht="30.75">
      <c r="A338" s="898"/>
      <c r="B338" s="898"/>
      <c r="C338" s="898"/>
      <c r="D338" s="901"/>
      <c r="E338" s="685" t="s">
        <v>1432</v>
      </c>
      <c r="F338" s="712" t="s">
        <v>1229</v>
      </c>
      <c r="G338" s="686">
        <v>1499836</v>
      </c>
      <c r="H338" s="697">
        <v>97.3</v>
      </c>
      <c r="I338" s="686">
        <v>38000</v>
      </c>
      <c r="J338" s="684">
        <v>100</v>
      </c>
    </row>
    <row r="339" spans="1:10" s="658" customFormat="1" ht="49.5" customHeight="1">
      <c r="A339" s="898"/>
      <c r="B339" s="898"/>
      <c r="C339" s="898"/>
      <c r="D339" s="901"/>
      <c r="E339" s="685" t="s">
        <v>1433</v>
      </c>
      <c r="F339" s="712">
        <v>2020</v>
      </c>
      <c r="G339" s="686">
        <v>1500000</v>
      </c>
      <c r="H339" s="697">
        <v>0</v>
      </c>
      <c r="I339" s="686">
        <v>1500000</v>
      </c>
      <c r="J339" s="684">
        <v>100</v>
      </c>
    </row>
    <row r="340" spans="1:10" s="658" customFormat="1" ht="30.75">
      <c r="A340" s="898"/>
      <c r="B340" s="898"/>
      <c r="C340" s="898"/>
      <c r="D340" s="901"/>
      <c r="E340" s="699" t="s">
        <v>1434</v>
      </c>
      <c r="F340" s="720"/>
      <c r="G340" s="657"/>
      <c r="H340" s="656"/>
      <c r="I340" s="657">
        <f>SUM(I341:I343)</f>
        <v>47177140</v>
      </c>
      <c r="J340" s="646"/>
    </row>
    <row r="341" spans="1:10" s="658" customFormat="1" ht="93">
      <c r="A341" s="898"/>
      <c r="B341" s="898"/>
      <c r="C341" s="898"/>
      <c r="D341" s="901"/>
      <c r="E341" s="682" t="s">
        <v>1435</v>
      </c>
      <c r="F341" s="712"/>
      <c r="G341" s="657"/>
      <c r="H341" s="656"/>
      <c r="I341" s="686">
        <f>4500000+500000+2800000+1000000+34677140</f>
        <v>43477140</v>
      </c>
      <c r="J341" s="646"/>
    </row>
    <row r="342" spans="1:10" s="658" customFormat="1" ht="30.75">
      <c r="A342" s="898"/>
      <c r="B342" s="898"/>
      <c r="C342" s="898"/>
      <c r="D342" s="901"/>
      <c r="E342" s="682" t="s">
        <v>1436</v>
      </c>
      <c r="F342" s="712"/>
      <c r="G342" s="657"/>
      <c r="H342" s="656"/>
      <c r="I342" s="686">
        <v>2200000</v>
      </c>
      <c r="J342" s="646"/>
    </row>
    <row r="343" spans="1:10" s="658" customFormat="1" ht="30.75">
      <c r="A343" s="898"/>
      <c r="B343" s="898"/>
      <c r="C343" s="898"/>
      <c r="D343" s="901"/>
      <c r="E343" s="682" t="s">
        <v>1437</v>
      </c>
      <c r="F343" s="712">
        <v>2020</v>
      </c>
      <c r="G343" s="686">
        <v>2313990</v>
      </c>
      <c r="H343" s="697">
        <v>0</v>
      </c>
      <c r="I343" s="686">
        <f>2438000-938000</f>
        <v>1500000</v>
      </c>
      <c r="J343" s="684">
        <v>65</v>
      </c>
    </row>
    <row r="344" spans="1:10" s="658" customFormat="1" ht="30.75">
      <c r="A344" s="898"/>
      <c r="B344" s="898"/>
      <c r="C344" s="898"/>
      <c r="D344" s="901"/>
      <c r="E344" s="699" t="s">
        <v>1438</v>
      </c>
      <c r="F344" s="712"/>
      <c r="G344" s="686"/>
      <c r="H344" s="697"/>
      <c r="I344" s="657">
        <f>SUM(I345:I348)</f>
        <v>7752423.11</v>
      </c>
      <c r="J344" s="684"/>
    </row>
    <row r="345" spans="1:10" s="658" customFormat="1" ht="46.5">
      <c r="A345" s="898"/>
      <c r="B345" s="898"/>
      <c r="C345" s="898"/>
      <c r="D345" s="901"/>
      <c r="E345" s="682" t="s">
        <v>1439</v>
      </c>
      <c r="F345" s="712"/>
      <c r="G345" s="686"/>
      <c r="H345" s="697"/>
      <c r="I345" s="713">
        <f>4705000+915000</f>
        <v>5620000</v>
      </c>
      <c r="J345" s="684"/>
    </row>
    <row r="346" spans="1:10" s="658" customFormat="1" ht="78">
      <c r="A346" s="898"/>
      <c r="B346" s="898"/>
      <c r="C346" s="898"/>
      <c r="D346" s="901"/>
      <c r="E346" s="682" t="s">
        <v>1440</v>
      </c>
      <c r="F346" s="712"/>
      <c r="G346" s="686"/>
      <c r="H346" s="697"/>
      <c r="I346" s="713">
        <v>91000</v>
      </c>
      <c r="J346" s="684"/>
    </row>
    <row r="347" spans="1:10" s="658" customFormat="1" ht="30.75">
      <c r="A347" s="898"/>
      <c r="B347" s="898"/>
      <c r="C347" s="898"/>
      <c r="D347" s="901"/>
      <c r="E347" s="682" t="s">
        <v>1441</v>
      </c>
      <c r="F347" s="712" t="s">
        <v>1229</v>
      </c>
      <c r="G347" s="686">
        <v>1498861</v>
      </c>
      <c r="H347" s="697">
        <v>65.3</v>
      </c>
      <c r="I347" s="686">
        <v>551423.11</v>
      </c>
      <c r="J347" s="684">
        <v>100</v>
      </c>
    </row>
    <row r="348" spans="1:10" s="658" customFormat="1" ht="30.75">
      <c r="A348" s="898"/>
      <c r="B348" s="898"/>
      <c r="C348" s="898"/>
      <c r="D348" s="901"/>
      <c r="E348" s="682" t="s">
        <v>1442</v>
      </c>
      <c r="F348" s="712">
        <v>2020</v>
      </c>
      <c r="G348" s="686">
        <v>1490000</v>
      </c>
      <c r="H348" s="697">
        <v>0</v>
      </c>
      <c r="I348" s="686">
        <v>1490000</v>
      </c>
      <c r="J348" s="684">
        <v>100</v>
      </c>
    </row>
    <row r="349" spans="1:10" s="658" customFormat="1" ht="30.75">
      <c r="A349" s="898"/>
      <c r="B349" s="898"/>
      <c r="C349" s="898"/>
      <c r="D349" s="901"/>
      <c r="E349" s="699" t="s">
        <v>1443</v>
      </c>
      <c r="F349" s="712"/>
      <c r="G349" s="686"/>
      <c r="H349" s="697"/>
      <c r="I349" s="657">
        <f>SUM(I350:I351)</f>
        <v>3777000</v>
      </c>
      <c r="J349" s="684"/>
    </row>
    <row r="350" spans="1:10" s="658" customFormat="1" ht="78">
      <c r="A350" s="898"/>
      <c r="B350" s="898"/>
      <c r="C350" s="898"/>
      <c r="D350" s="901"/>
      <c r="E350" s="682" t="s">
        <v>1444</v>
      </c>
      <c r="F350" s="712"/>
      <c r="G350" s="686"/>
      <c r="H350" s="697"/>
      <c r="I350" s="713">
        <v>234000</v>
      </c>
      <c r="J350" s="684"/>
    </row>
    <row r="351" spans="1:10" s="658" customFormat="1" ht="46.5">
      <c r="A351" s="898"/>
      <c r="B351" s="898"/>
      <c r="C351" s="898"/>
      <c r="D351" s="901"/>
      <c r="E351" s="682" t="s">
        <v>1445</v>
      </c>
      <c r="F351" s="712"/>
      <c r="G351" s="686"/>
      <c r="H351" s="697"/>
      <c r="I351" s="713">
        <v>3543000</v>
      </c>
      <c r="J351" s="684"/>
    </row>
    <row r="352" spans="1:10" s="658" customFormat="1" ht="30.75">
      <c r="A352" s="898"/>
      <c r="B352" s="898"/>
      <c r="C352" s="898"/>
      <c r="D352" s="901"/>
      <c r="E352" s="721" t="s">
        <v>1446</v>
      </c>
      <c r="F352" s="720"/>
      <c r="G352" s="657"/>
      <c r="H352" s="656"/>
      <c r="I352" s="657">
        <f>SUM(I353:I353)</f>
        <v>3500000</v>
      </c>
      <c r="J352" s="646"/>
    </row>
    <row r="353" spans="1:10" s="658" customFormat="1" ht="30.75">
      <c r="A353" s="898"/>
      <c r="B353" s="898"/>
      <c r="C353" s="898"/>
      <c r="D353" s="901"/>
      <c r="E353" s="722" t="s">
        <v>1447</v>
      </c>
      <c r="F353" s="712" t="s">
        <v>1288</v>
      </c>
      <c r="G353" s="686">
        <v>5599062</v>
      </c>
      <c r="H353" s="697">
        <v>30.2</v>
      </c>
      <c r="I353" s="686">
        <f>1738078-630858+2392780</f>
        <v>3500000</v>
      </c>
      <c r="J353" s="684">
        <v>100</v>
      </c>
    </row>
    <row r="354" spans="1:10" s="658" customFormat="1" ht="53.25" customHeight="1">
      <c r="A354" s="898"/>
      <c r="B354" s="898"/>
      <c r="C354" s="898"/>
      <c r="D354" s="901"/>
      <c r="E354" s="699" t="s">
        <v>1448</v>
      </c>
      <c r="F354" s="720"/>
      <c r="G354" s="657"/>
      <c r="H354" s="656"/>
      <c r="I354" s="657">
        <f>I355</f>
        <v>1500000</v>
      </c>
      <c r="J354" s="646"/>
    </row>
    <row r="355" spans="1:10" s="658" customFormat="1" ht="30.75">
      <c r="A355" s="898"/>
      <c r="B355" s="898"/>
      <c r="C355" s="898"/>
      <c r="D355" s="901"/>
      <c r="E355" s="722" t="s">
        <v>1449</v>
      </c>
      <c r="F355" s="712" t="s">
        <v>1266</v>
      </c>
      <c r="G355" s="686">
        <v>3710000</v>
      </c>
      <c r="H355" s="697">
        <v>0</v>
      </c>
      <c r="I355" s="686">
        <v>1500000</v>
      </c>
      <c r="J355" s="684">
        <v>40.4</v>
      </c>
    </row>
    <row r="356" spans="1:10" s="658" customFormat="1" ht="48" customHeight="1">
      <c r="A356" s="898"/>
      <c r="B356" s="898"/>
      <c r="C356" s="898"/>
      <c r="D356" s="901"/>
      <c r="E356" s="721" t="s">
        <v>1450</v>
      </c>
      <c r="F356" s="712"/>
      <c r="G356" s="657"/>
      <c r="H356" s="697"/>
      <c r="I356" s="657">
        <f>SUM(I357:I357)</f>
        <v>1500000</v>
      </c>
      <c r="J356" s="646"/>
    </row>
    <row r="357" spans="1:10" s="658" customFormat="1" ht="46.5">
      <c r="A357" s="898"/>
      <c r="B357" s="898"/>
      <c r="C357" s="898"/>
      <c r="D357" s="901"/>
      <c r="E357" s="722" t="s">
        <v>1451</v>
      </c>
      <c r="F357" s="712">
        <v>2020</v>
      </c>
      <c r="G357" s="686">
        <v>1500000</v>
      </c>
      <c r="H357" s="697">
        <v>0</v>
      </c>
      <c r="I357" s="686">
        <v>1500000</v>
      </c>
      <c r="J357" s="684">
        <v>100</v>
      </c>
    </row>
    <row r="358" spans="1:10" s="658" customFormat="1" ht="51.75" customHeight="1">
      <c r="A358" s="898"/>
      <c r="B358" s="898"/>
      <c r="C358" s="898"/>
      <c r="D358" s="901"/>
      <c r="E358" s="721" t="s">
        <v>1452</v>
      </c>
      <c r="F358" s="712"/>
      <c r="G358" s="657"/>
      <c r="H358" s="697"/>
      <c r="I358" s="657">
        <f>SUM(I359:I359)</f>
        <v>1450000</v>
      </c>
      <c r="J358" s="646"/>
    </row>
    <row r="359" spans="1:10" s="658" customFormat="1" ht="30.75">
      <c r="A359" s="898"/>
      <c r="B359" s="898"/>
      <c r="C359" s="898"/>
      <c r="D359" s="901"/>
      <c r="E359" s="722" t="s">
        <v>1453</v>
      </c>
      <c r="F359" s="712" t="s">
        <v>1266</v>
      </c>
      <c r="G359" s="686">
        <v>1497887</v>
      </c>
      <c r="H359" s="697">
        <v>0</v>
      </c>
      <c r="I359" s="686">
        <v>1450000</v>
      </c>
      <c r="J359" s="684">
        <v>97</v>
      </c>
    </row>
    <row r="360" spans="1:10" s="658" customFormat="1" ht="46.5" customHeight="1">
      <c r="A360" s="898"/>
      <c r="B360" s="898"/>
      <c r="C360" s="898"/>
      <c r="D360" s="901"/>
      <c r="E360" s="721" t="s">
        <v>1454</v>
      </c>
      <c r="F360" s="712"/>
      <c r="G360" s="686"/>
      <c r="H360" s="697"/>
      <c r="I360" s="657">
        <f>I361</f>
        <v>446000</v>
      </c>
      <c r="J360" s="684"/>
    </row>
    <row r="361" spans="1:10" s="658" customFormat="1" ht="62.25">
      <c r="A361" s="898"/>
      <c r="B361" s="898"/>
      <c r="C361" s="898"/>
      <c r="D361" s="901"/>
      <c r="E361" s="722" t="s">
        <v>1455</v>
      </c>
      <c r="F361" s="712"/>
      <c r="G361" s="686"/>
      <c r="H361" s="697"/>
      <c r="I361" s="686">
        <v>446000</v>
      </c>
      <c r="J361" s="684"/>
    </row>
    <row r="362" spans="1:10" s="658" customFormat="1" ht="30.75">
      <c r="A362" s="898"/>
      <c r="B362" s="898"/>
      <c r="C362" s="898"/>
      <c r="D362" s="901"/>
      <c r="E362" s="721" t="s">
        <v>1456</v>
      </c>
      <c r="F362" s="712"/>
      <c r="G362" s="686"/>
      <c r="H362" s="697"/>
      <c r="I362" s="657">
        <f>I363</f>
        <v>869717</v>
      </c>
      <c r="J362" s="684"/>
    </row>
    <row r="363" spans="1:10" s="658" customFormat="1" ht="84" customHeight="1">
      <c r="A363" s="898"/>
      <c r="B363" s="898"/>
      <c r="C363" s="898"/>
      <c r="D363" s="901"/>
      <c r="E363" s="722" t="s">
        <v>1457</v>
      </c>
      <c r="F363" s="712">
        <v>2020</v>
      </c>
      <c r="G363" s="686">
        <v>869717</v>
      </c>
      <c r="H363" s="697">
        <v>0</v>
      </c>
      <c r="I363" s="686">
        <v>869717</v>
      </c>
      <c r="J363" s="684">
        <v>100</v>
      </c>
    </row>
    <row r="364" spans="1:10" s="658" customFormat="1" ht="30.75">
      <c r="A364" s="898"/>
      <c r="B364" s="898"/>
      <c r="C364" s="898"/>
      <c r="D364" s="901"/>
      <c r="E364" s="721" t="s">
        <v>1458</v>
      </c>
      <c r="F364" s="712"/>
      <c r="G364" s="686"/>
      <c r="H364" s="697"/>
      <c r="I364" s="657">
        <f>I365</f>
        <v>3303000</v>
      </c>
      <c r="J364" s="684"/>
    </row>
    <row r="365" spans="1:10" s="658" customFormat="1" ht="84" customHeight="1">
      <c r="A365" s="898"/>
      <c r="B365" s="898"/>
      <c r="C365" s="898"/>
      <c r="D365" s="901"/>
      <c r="E365" s="722" t="s">
        <v>1459</v>
      </c>
      <c r="F365" s="712"/>
      <c r="G365" s="686"/>
      <c r="H365" s="697"/>
      <c r="I365" s="713">
        <v>3303000</v>
      </c>
      <c r="J365" s="684"/>
    </row>
    <row r="366" spans="1:10" s="658" customFormat="1" ht="30.75">
      <c r="A366" s="898"/>
      <c r="B366" s="898"/>
      <c r="C366" s="898"/>
      <c r="D366" s="901"/>
      <c r="E366" s="721" t="s">
        <v>1460</v>
      </c>
      <c r="F366" s="712"/>
      <c r="G366" s="686"/>
      <c r="H366" s="697"/>
      <c r="I366" s="657">
        <f>I367</f>
        <v>3000000</v>
      </c>
      <c r="J366" s="684"/>
    </row>
    <row r="367" spans="1:10" s="658" customFormat="1" ht="84" customHeight="1">
      <c r="A367" s="899"/>
      <c r="B367" s="899"/>
      <c r="C367" s="899"/>
      <c r="D367" s="902"/>
      <c r="E367" s="722" t="s">
        <v>1461</v>
      </c>
      <c r="F367" s="712"/>
      <c r="G367" s="686"/>
      <c r="H367" s="697"/>
      <c r="I367" s="713">
        <v>3000000</v>
      </c>
      <c r="J367" s="684"/>
    </row>
    <row r="368" spans="1:10" ht="15">
      <c r="A368" s="663" t="s">
        <v>128</v>
      </c>
      <c r="B368" s="663"/>
      <c r="C368" s="663"/>
      <c r="D368" s="663" t="s">
        <v>845</v>
      </c>
      <c r="E368" s="663"/>
      <c r="F368" s="663"/>
      <c r="G368" s="663"/>
      <c r="H368" s="723"/>
      <c r="I368" s="724">
        <f>I369</f>
        <v>3492284.5</v>
      </c>
      <c r="J368" s="725"/>
    </row>
    <row r="369" spans="1:10" ht="15">
      <c r="A369" s="663" t="s">
        <v>129</v>
      </c>
      <c r="B369" s="663"/>
      <c r="C369" s="663"/>
      <c r="D369" s="663" t="s">
        <v>845</v>
      </c>
      <c r="E369" s="663"/>
      <c r="F369" s="663"/>
      <c r="G369" s="663"/>
      <c r="H369" s="723"/>
      <c r="I369" s="724">
        <f>I372+I381+I376+I374</f>
        <v>3492284.5</v>
      </c>
      <c r="J369" s="725"/>
    </row>
    <row r="370" spans="1:10" ht="15" hidden="1">
      <c r="A370" s="870" t="s">
        <v>127</v>
      </c>
      <c r="B370" s="870" t="s">
        <v>367</v>
      </c>
      <c r="C370" s="870" t="s">
        <v>105</v>
      </c>
      <c r="D370" s="869" t="s">
        <v>360</v>
      </c>
      <c r="E370" s="685"/>
      <c r="F370" s="166"/>
      <c r="G370" s="726"/>
      <c r="H370" s="673"/>
      <c r="I370" s="674">
        <f>SUM(I371:I371)</f>
        <v>0</v>
      </c>
      <c r="J370" s="727"/>
    </row>
    <row r="371" spans="1:10" ht="15" hidden="1">
      <c r="A371" s="870"/>
      <c r="B371" s="870"/>
      <c r="C371" s="870"/>
      <c r="D371" s="869"/>
      <c r="E371" s="685"/>
      <c r="F371" s="696"/>
      <c r="G371" s="686"/>
      <c r="H371" s="697"/>
      <c r="I371" s="166"/>
      <c r="J371" s="727"/>
    </row>
    <row r="372" spans="1:10" ht="15">
      <c r="A372" s="870" t="s">
        <v>591</v>
      </c>
      <c r="B372" s="870" t="s">
        <v>1462</v>
      </c>
      <c r="C372" s="870" t="s">
        <v>502</v>
      </c>
      <c r="D372" s="869" t="s">
        <v>855</v>
      </c>
      <c r="E372" s="685"/>
      <c r="F372" s="166"/>
      <c r="G372" s="726"/>
      <c r="H372" s="673"/>
      <c r="I372" s="674">
        <f>SUM(I373:I373)</f>
        <v>185000</v>
      </c>
      <c r="J372" s="727"/>
    </row>
    <row r="373" spans="1:10" ht="57.75" customHeight="1">
      <c r="A373" s="870"/>
      <c r="B373" s="870"/>
      <c r="C373" s="870"/>
      <c r="D373" s="869"/>
      <c r="E373" s="685" t="s">
        <v>1463</v>
      </c>
      <c r="F373" s="728"/>
      <c r="G373" s="729"/>
      <c r="H373" s="730"/>
      <c r="I373" s="686">
        <v>185000</v>
      </c>
      <c r="J373" s="684"/>
    </row>
    <row r="374" spans="1:10" s="658" customFormat="1" ht="15">
      <c r="A374" s="870" t="s">
        <v>151</v>
      </c>
      <c r="B374" s="870" t="s">
        <v>1464</v>
      </c>
      <c r="C374" s="870" t="s">
        <v>103</v>
      </c>
      <c r="D374" s="869" t="s">
        <v>150</v>
      </c>
      <c r="E374" s="685"/>
      <c r="F374" s="166"/>
      <c r="G374" s="726"/>
      <c r="H374" s="673"/>
      <c r="I374" s="674">
        <f>SUM(I375:I375)</f>
        <v>175000</v>
      </c>
      <c r="J374" s="727"/>
    </row>
    <row r="375" spans="1:10" s="658" customFormat="1" ht="62.25">
      <c r="A375" s="870"/>
      <c r="B375" s="870"/>
      <c r="C375" s="870"/>
      <c r="D375" s="869"/>
      <c r="E375" s="685" t="s">
        <v>1465</v>
      </c>
      <c r="F375" s="728"/>
      <c r="G375" s="729"/>
      <c r="H375" s="730"/>
      <c r="I375" s="686">
        <v>175000</v>
      </c>
      <c r="J375" s="684"/>
    </row>
    <row r="376" spans="1:10" ht="15">
      <c r="A376" s="870" t="s">
        <v>215</v>
      </c>
      <c r="B376" s="870" t="s">
        <v>1466</v>
      </c>
      <c r="C376" s="870" t="s">
        <v>758</v>
      </c>
      <c r="D376" s="869" t="s">
        <v>217</v>
      </c>
      <c r="E376" s="685"/>
      <c r="F376" s="166"/>
      <c r="G376" s="726"/>
      <c r="H376" s="673"/>
      <c r="I376" s="674">
        <f>SUM(I377:I380)</f>
        <v>1395042</v>
      </c>
      <c r="J376" s="727"/>
    </row>
    <row r="377" spans="1:10" ht="46.5">
      <c r="A377" s="870"/>
      <c r="B377" s="870"/>
      <c r="C377" s="870"/>
      <c r="D377" s="869"/>
      <c r="E377" s="685" t="s">
        <v>1467</v>
      </c>
      <c r="F377" s="696">
        <v>2020</v>
      </c>
      <c r="G377" s="686">
        <v>540602</v>
      </c>
      <c r="H377" s="697">
        <v>0</v>
      </c>
      <c r="I377" s="686">
        <f>40602+500000</f>
        <v>540602</v>
      </c>
      <c r="J377" s="684">
        <v>100</v>
      </c>
    </row>
    <row r="378" spans="1:10" ht="51.75" customHeight="1">
      <c r="A378" s="870"/>
      <c r="B378" s="870"/>
      <c r="C378" s="870"/>
      <c r="D378" s="869"/>
      <c r="E378" s="685" t="s">
        <v>1468</v>
      </c>
      <c r="F378" s="696" t="s">
        <v>1229</v>
      </c>
      <c r="G378" s="686">
        <f>I378+3240</f>
        <v>363500</v>
      </c>
      <c r="H378" s="697">
        <v>0.9</v>
      </c>
      <c r="I378" s="686">
        <v>360260</v>
      </c>
      <c r="J378" s="684">
        <v>100</v>
      </c>
    </row>
    <row r="379" spans="1:10" ht="46.5">
      <c r="A379" s="870"/>
      <c r="B379" s="870"/>
      <c r="C379" s="870"/>
      <c r="D379" s="869"/>
      <c r="E379" s="685" t="s">
        <v>1469</v>
      </c>
      <c r="F379" s="696">
        <v>2020</v>
      </c>
      <c r="G379" s="686">
        <v>130000</v>
      </c>
      <c r="H379" s="697">
        <v>0</v>
      </c>
      <c r="I379" s="686">
        <v>130000</v>
      </c>
      <c r="J379" s="684">
        <v>100</v>
      </c>
    </row>
    <row r="380" spans="1:10" ht="62.25">
      <c r="A380" s="870"/>
      <c r="B380" s="870"/>
      <c r="C380" s="870"/>
      <c r="D380" s="869"/>
      <c r="E380" s="685" t="s">
        <v>1470</v>
      </c>
      <c r="F380" s="696" t="s">
        <v>1288</v>
      </c>
      <c r="G380" s="686">
        <f>45398+1454600.09</f>
        <v>1499998.09</v>
      </c>
      <c r="H380" s="697">
        <v>75.6</v>
      </c>
      <c r="I380" s="686">
        <f>45398+318282+500</f>
        <v>364180</v>
      </c>
      <c r="J380" s="684">
        <v>100</v>
      </c>
    </row>
    <row r="381" spans="1:10" ht="15">
      <c r="A381" s="870" t="s">
        <v>216</v>
      </c>
      <c r="B381" s="870" t="s">
        <v>213</v>
      </c>
      <c r="C381" s="870" t="s">
        <v>758</v>
      </c>
      <c r="D381" s="869" t="s">
        <v>212</v>
      </c>
      <c r="E381" s="685"/>
      <c r="F381" s="166"/>
      <c r="G381" s="726"/>
      <c r="H381" s="673"/>
      <c r="I381" s="674">
        <f>SUM(I382:I382)</f>
        <v>1737242.5</v>
      </c>
      <c r="J381" s="727"/>
    </row>
    <row r="382" spans="1:10" ht="46.5">
      <c r="A382" s="870"/>
      <c r="B382" s="870"/>
      <c r="C382" s="870"/>
      <c r="D382" s="869"/>
      <c r="E382" s="685" t="s">
        <v>1471</v>
      </c>
      <c r="F382" s="696" t="s">
        <v>1288</v>
      </c>
      <c r="G382" s="686">
        <v>2913421.75</v>
      </c>
      <c r="H382" s="697">
        <v>39.9</v>
      </c>
      <c r="I382" s="166">
        <v>1737242.5</v>
      </c>
      <c r="J382" s="727">
        <v>100</v>
      </c>
    </row>
    <row r="383" spans="1:13" ht="15" hidden="1">
      <c r="A383" s="867" t="s">
        <v>151</v>
      </c>
      <c r="B383" s="867" t="s">
        <v>1464</v>
      </c>
      <c r="C383" s="867" t="s">
        <v>103</v>
      </c>
      <c r="D383" s="868" t="s">
        <v>150</v>
      </c>
      <c r="E383" s="682"/>
      <c r="F383" s="696"/>
      <c r="G383" s="686"/>
      <c r="H383" s="697"/>
      <c r="I383" s="657">
        <f>SUM(I384:I385)</f>
        <v>0</v>
      </c>
      <c r="J383" s="684"/>
      <c r="K383" s="731"/>
      <c r="L383" s="731"/>
      <c r="M383" s="731"/>
    </row>
    <row r="384" spans="1:13" ht="15" hidden="1">
      <c r="A384" s="867"/>
      <c r="B384" s="867"/>
      <c r="C384" s="867"/>
      <c r="D384" s="868"/>
      <c r="E384" s="682"/>
      <c r="F384" s="696"/>
      <c r="G384" s="686"/>
      <c r="H384" s="697"/>
      <c r="I384" s="686"/>
      <c r="J384" s="684"/>
      <c r="K384" s="731"/>
      <c r="L384" s="731"/>
      <c r="M384" s="731"/>
    </row>
    <row r="385" spans="1:13" ht="15" hidden="1">
      <c r="A385" s="867"/>
      <c r="B385" s="867"/>
      <c r="C385" s="867"/>
      <c r="D385" s="868"/>
      <c r="E385" s="682"/>
      <c r="F385" s="696"/>
      <c r="G385" s="686"/>
      <c r="H385" s="697"/>
      <c r="I385" s="686"/>
      <c r="J385" s="684"/>
      <c r="K385" s="731"/>
      <c r="L385" s="731"/>
      <c r="M385" s="731"/>
    </row>
    <row r="386" spans="1:13" ht="15" customHeight="1" hidden="1">
      <c r="A386" s="867" t="s">
        <v>380</v>
      </c>
      <c r="B386" s="867" t="s">
        <v>1472</v>
      </c>
      <c r="C386" s="867" t="s">
        <v>719</v>
      </c>
      <c r="D386" s="868" t="s">
        <v>377</v>
      </c>
      <c r="E386" s="682"/>
      <c r="F386" s="696"/>
      <c r="G386" s="686"/>
      <c r="H386" s="697"/>
      <c r="I386" s="657">
        <f>SUM(I387:I388)</f>
        <v>0</v>
      </c>
      <c r="J386" s="684"/>
      <c r="K386" s="886"/>
      <c r="L386" s="887"/>
      <c r="M386" s="731"/>
    </row>
    <row r="387" spans="1:13" ht="15" hidden="1">
      <c r="A387" s="867"/>
      <c r="B387" s="867"/>
      <c r="C387" s="867"/>
      <c r="D387" s="868"/>
      <c r="E387" s="682"/>
      <c r="F387" s="696"/>
      <c r="G387" s="686"/>
      <c r="H387" s="697"/>
      <c r="I387" s="686"/>
      <c r="J387" s="684"/>
      <c r="K387" s="886"/>
      <c r="L387" s="887"/>
      <c r="M387" s="731"/>
    </row>
    <row r="388" spans="1:13" ht="15" hidden="1">
      <c r="A388" s="867"/>
      <c r="B388" s="867"/>
      <c r="C388" s="867"/>
      <c r="D388" s="868"/>
      <c r="E388" s="682"/>
      <c r="F388" s="696"/>
      <c r="G388" s="686"/>
      <c r="H388" s="697"/>
      <c r="I388" s="686"/>
      <c r="J388" s="684"/>
      <c r="K388" s="886"/>
      <c r="L388" s="887"/>
      <c r="M388" s="731"/>
    </row>
    <row r="389" spans="1:10" ht="15" hidden="1">
      <c r="A389" s="647" t="s">
        <v>141</v>
      </c>
      <c r="B389" s="647"/>
      <c r="C389" s="647"/>
      <c r="D389" s="648" t="s">
        <v>1473</v>
      </c>
      <c r="E389" s="649"/>
      <c r="F389" s="649"/>
      <c r="G389" s="649"/>
      <c r="H389" s="650"/>
      <c r="I389" s="651">
        <f>I390</f>
        <v>0</v>
      </c>
      <c r="J389" s="652"/>
    </row>
    <row r="390" spans="1:10" ht="15" hidden="1">
      <c r="A390" s="647" t="s">
        <v>142</v>
      </c>
      <c r="B390" s="647"/>
      <c r="C390" s="647"/>
      <c r="D390" s="648" t="s">
        <v>1473</v>
      </c>
      <c r="E390" s="649"/>
      <c r="F390" s="649"/>
      <c r="G390" s="649"/>
      <c r="H390" s="650"/>
      <c r="I390" s="651">
        <f>I391</f>
        <v>0</v>
      </c>
      <c r="J390" s="652"/>
    </row>
    <row r="391" spans="1:10" s="732" customFormat="1" ht="32.25" customHeight="1" hidden="1">
      <c r="A391" s="867" t="s">
        <v>143</v>
      </c>
      <c r="B391" s="867" t="s">
        <v>367</v>
      </c>
      <c r="C391" s="867" t="s">
        <v>105</v>
      </c>
      <c r="D391" s="868" t="s">
        <v>360</v>
      </c>
      <c r="E391" s="655"/>
      <c r="F391" s="655"/>
      <c r="G391" s="655"/>
      <c r="H391" s="656"/>
      <c r="I391" s="657">
        <f>I392</f>
        <v>0</v>
      </c>
      <c r="J391" s="646"/>
    </row>
    <row r="392" spans="1:10" s="732" customFormat="1" ht="32.25" customHeight="1" hidden="1">
      <c r="A392" s="867"/>
      <c r="B392" s="867"/>
      <c r="C392" s="867"/>
      <c r="D392" s="868"/>
      <c r="E392" s="682"/>
      <c r="F392" s="696"/>
      <c r="G392" s="696"/>
      <c r="H392" s="697"/>
      <c r="I392" s="686"/>
      <c r="J392" s="646"/>
    </row>
    <row r="393" spans="1:10" ht="30.75">
      <c r="A393" s="663" t="s">
        <v>584</v>
      </c>
      <c r="B393" s="664"/>
      <c r="C393" s="665"/>
      <c r="D393" s="649" t="s">
        <v>410</v>
      </c>
      <c r="E393" s="649"/>
      <c r="F393" s="649"/>
      <c r="G393" s="649"/>
      <c r="H393" s="650"/>
      <c r="I393" s="651">
        <f>I394</f>
        <v>169450600.57999998</v>
      </c>
      <c r="J393" s="652"/>
    </row>
    <row r="394" spans="1:10" ht="30.75">
      <c r="A394" s="663" t="s">
        <v>585</v>
      </c>
      <c r="B394" s="664"/>
      <c r="C394" s="665"/>
      <c r="D394" s="649" t="s">
        <v>410</v>
      </c>
      <c r="E394" s="649"/>
      <c r="F394" s="649"/>
      <c r="G394" s="649"/>
      <c r="H394" s="650"/>
      <c r="I394" s="651">
        <f>I395+I397+I414+I480+I540+I406+I404+I478+I662+I660</f>
        <v>169450600.57999998</v>
      </c>
      <c r="J394" s="652"/>
    </row>
    <row r="395" spans="1:10" ht="15" hidden="1">
      <c r="A395" s="876" t="s">
        <v>586</v>
      </c>
      <c r="B395" s="884" t="s">
        <v>367</v>
      </c>
      <c r="C395" s="884" t="s">
        <v>105</v>
      </c>
      <c r="D395" s="885" t="s">
        <v>360</v>
      </c>
      <c r="E395" s="672"/>
      <c r="F395" s="166"/>
      <c r="G395" s="726"/>
      <c r="H395" s="673"/>
      <c r="I395" s="674">
        <f>I396</f>
        <v>0</v>
      </c>
      <c r="J395" s="727"/>
    </row>
    <row r="396" spans="1:10" ht="15" hidden="1">
      <c r="A396" s="876"/>
      <c r="B396" s="884"/>
      <c r="C396" s="884"/>
      <c r="D396" s="885"/>
      <c r="E396" s="672"/>
      <c r="F396" s="166"/>
      <c r="G396" s="166"/>
      <c r="H396" s="673"/>
      <c r="I396" s="166"/>
      <c r="J396" s="675"/>
    </row>
    <row r="397" spans="1:10" ht="15">
      <c r="A397" s="869" t="s">
        <v>485</v>
      </c>
      <c r="B397" s="869">
        <v>6011</v>
      </c>
      <c r="C397" s="869" t="s">
        <v>879</v>
      </c>
      <c r="D397" s="869" t="s">
        <v>487</v>
      </c>
      <c r="E397" s="685"/>
      <c r="F397" s="166"/>
      <c r="G397" s="726"/>
      <c r="H397" s="673"/>
      <c r="I397" s="674">
        <f>I398+I403</f>
        <v>26938000</v>
      </c>
      <c r="J397" s="727"/>
    </row>
    <row r="398" spans="1:10" ht="78">
      <c r="A398" s="869"/>
      <c r="B398" s="869"/>
      <c r="C398" s="869"/>
      <c r="D398" s="869"/>
      <c r="E398" s="676" t="s">
        <v>1474</v>
      </c>
      <c r="F398" s="99"/>
      <c r="G398" s="733"/>
      <c r="H398" s="678"/>
      <c r="I398" s="99">
        <f>I399+I400+I401+I402+1000000</f>
        <v>1938000</v>
      </c>
      <c r="J398" s="734"/>
    </row>
    <row r="399" spans="1:10" ht="30.75" hidden="1">
      <c r="A399" s="869"/>
      <c r="B399" s="869"/>
      <c r="C399" s="869"/>
      <c r="D399" s="869"/>
      <c r="E399" s="676" t="s">
        <v>1475</v>
      </c>
      <c r="F399" s="696">
        <v>2020</v>
      </c>
      <c r="G399" s="99"/>
      <c r="H399" s="678">
        <v>0</v>
      </c>
      <c r="I399" s="99"/>
      <c r="J399" s="675">
        <v>100</v>
      </c>
    </row>
    <row r="400" spans="1:10" ht="43.5" customHeight="1">
      <c r="A400" s="869"/>
      <c r="B400" s="869"/>
      <c r="C400" s="869"/>
      <c r="D400" s="869"/>
      <c r="E400" s="685" t="s">
        <v>1476</v>
      </c>
      <c r="F400" s="166" t="s">
        <v>1288</v>
      </c>
      <c r="G400" s="166">
        <v>906942</v>
      </c>
      <c r="H400" s="673">
        <f>(I400/G400*100-100)*-1</f>
        <v>56.66757080386618</v>
      </c>
      <c r="I400" s="166">
        <v>393000</v>
      </c>
      <c r="J400" s="675">
        <v>100</v>
      </c>
    </row>
    <row r="401" spans="1:10" ht="65.25" customHeight="1">
      <c r="A401" s="869"/>
      <c r="B401" s="869"/>
      <c r="C401" s="869"/>
      <c r="D401" s="869"/>
      <c r="E401" s="685" t="s">
        <v>1477</v>
      </c>
      <c r="F401" s="696">
        <v>2020</v>
      </c>
      <c r="G401" s="166">
        <v>300000</v>
      </c>
      <c r="H401" s="673">
        <v>0</v>
      </c>
      <c r="I401" s="166">
        <v>300000</v>
      </c>
      <c r="J401" s="675">
        <v>100</v>
      </c>
    </row>
    <row r="402" spans="1:10" ht="30.75">
      <c r="A402" s="869"/>
      <c r="B402" s="869"/>
      <c r="C402" s="869"/>
      <c r="D402" s="869"/>
      <c r="E402" s="685" t="s">
        <v>1478</v>
      </c>
      <c r="F402" s="696" t="s">
        <v>1288</v>
      </c>
      <c r="G402" s="166">
        <v>1066814</v>
      </c>
      <c r="H402" s="673">
        <v>77</v>
      </c>
      <c r="I402" s="166">
        <v>245000</v>
      </c>
      <c r="J402" s="675">
        <v>100</v>
      </c>
    </row>
    <row r="403" spans="1:10" ht="78">
      <c r="A403" s="869"/>
      <c r="B403" s="869"/>
      <c r="C403" s="869"/>
      <c r="D403" s="869"/>
      <c r="E403" s="698" t="s">
        <v>1479</v>
      </c>
      <c r="F403" s="166"/>
      <c r="G403" s="166"/>
      <c r="H403" s="673"/>
      <c r="I403" s="166">
        <f>15000000+10000000</f>
        <v>25000000</v>
      </c>
      <c r="J403" s="675"/>
    </row>
    <row r="404" spans="1:10" ht="15">
      <c r="A404" s="869">
        <v>1216015</v>
      </c>
      <c r="B404" s="869">
        <v>6015</v>
      </c>
      <c r="C404" s="870" t="s">
        <v>879</v>
      </c>
      <c r="D404" s="869" t="s">
        <v>492</v>
      </c>
      <c r="E404" s="685"/>
      <c r="F404" s="166"/>
      <c r="G404" s="726"/>
      <c r="H404" s="673"/>
      <c r="I404" s="674">
        <f>I405</f>
        <v>3800000</v>
      </c>
      <c r="J404" s="727"/>
    </row>
    <row r="405" spans="1:10" ht="78">
      <c r="A405" s="869"/>
      <c r="B405" s="869"/>
      <c r="C405" s="870"/>
      <c r="D405" s="869"/>
      <c r="E405" s="676" t="s">
        <v>1480</v>
      </c>
      <c r="F405" s="99"/>
      <c r="G405" s="733"/>
      <c r="H405" s="678"/>
      <c r="I405" s="99">
        <f>5000000-1200000</f>
        <v>3800000</v>
      </c>
      <c r="J405" s="734"/>
    </row>
    <row r="406" spans="1:10" ht="15">
      <c r="A406" s="869">
        <v>1216030</v>
      </c>
      <c r="B406" s="869">
        <v>6030</v>
      </c>
      <c r="C406" s="870" t="s">
        <v>879</v>
      </c>
      <c r="D406" s="869" t="s">
        <v>429</v>
      </c>
      <c r="E406" s="685"/>
      <c r="F406" s="166"/>
      <c r="G406" s="726"/>
      <c r="H406" s="673"/>
      <c r="I406" s="674">
        <f>SUM(I407:I411)</f>
        <v>1180000</v>
      </c>
      <c r="J406" s="727"/>
    </row>
    <row r="407" spans="1:10" ht="30.75">
      <c r="A407" s="869"/>
      <c r="B407" s="869"/>
      <c r="C407" s="870"/>
      <c r="D407" s="869"/>
      <c r="E407" s="685" t="s">
        <v>1481</v>
      </c>
      <c r="F407" s="696">
        <v>2020</v>
      </c>
      <c r="G407" s="166">
        <v>50000</v>
      </c>
      <c r="H407" s="673">
        <v>0</v>
      </c>
      <c r="I407" s="166">
        <f>90000-90000+50000</f>
        <v>50000</v>
      </c>
      <c r="J407" s="727">
        <v>100</v>
      </c>
    </row>
    <row r="408" spans="1:10" s="658" customFormat="1" ht="51.75" customHeight="1">
      <c r="A408" s="869"/>
      <c r="B408" s="869"/>
      <c r="C408" s="870"/>
      <c r="D408" s="869"/>
      <c r="E408" s="698" t="s">
        <v>1482</v>
      </c>
      <c r="F408" s="696">
        <v>2020</v>
      </c>
      <c r="G408" s="166">
        <v>200000</v>
      </c>
      <c r="H408" s="673">
        <v>0</v>
      </c>
      <c r="I408" s="166">
        <f>200000+50000-50000</f>
        <v>200000</v>
      </c>
      <c r="J408" s="727">
        <v>100</v>
      </c>
    </row>
    <row r="409" spans="1:10" s="658" customFormat="1" ht="48" customHeight="1">
      <c r="A409" s="869"/>
      <c r="B409" s="869"/>
      <c r="C409" s="870"/>
      <c r="D409" s="869"/>
      <c r="E409" s="698" t="s">
        <v>1483</v>
      </c>
      <c r="F409" s="696">
        <v>2020</v>
      </c>
      <c r="G409" s="166">
        <v>490000</v>
      </c>
      <c r="H409" s="673">
        <v>0</v>
      </c>
      <c r="I409" s="166">
        <v>490000</v>
      </c>
      <c r="J409" s="727">
        <v>100</v>
      </c>
    </row>
    <row r="410" spans="1:10" s="658" customFormat="1" ht="46.5">
      <c r="A410" s="869"/>
      <c r="B410" s="869"/>
      <c r="C410" s="870"/>
      <c r="D410" s="869"/>
      <c r="E410" s="685" t="s">
        <v>1484</v>
      </c>
      <c r="F410" s="696">
        <v>2020</v>
      </c>
      <c r="G410" s="166">
        <v>440000</v>
      </c>
      <c r="H410" s="673">
        <v>0</v>
      </c>
      <c r="I410" s="166">
        <v>440000</v>
      </c>
      <c r="J410" s="727">
        <v>100</v>
      </c>
    </row>
    <row r="411" spans="1:10" s="658" customFormat="1" ht="30.75" hidden="1">
      <c r="A411" s="869"/>
      <c r="B411" s="869"/>
      <c r="C411" s="870"/>
      <c r="D411" s="869"/>
      <c r="E411" s="682" t="s">
        <v>1485</v>
      </c>
      <c r="F411" s="696">
        <v>2020</v>
      </c>
      <c r="G411" s="686"/>
      <c r="H411" s="673">
        <v>0</v>
      </c>
      <c r="I411" s="686"/>
      <c r="J411" s="727">
        <v>100</v>
      </c>
    </row>
    <row r="412" spans="1:10" s="658" customFormat="1" ht="15" hidden="1">
      <c r="A412" s="869">
        <v>1216090</v>
      </c>
      <c r="B412" s="869">
        <v>6090</v>
      </c>
      <c r="C412" s="870" t="s">
        <v>895</v>
      </c>
      <c r="D412" s="869" t="s">
        <v>555</v>
      </c>
      <c r="E412" s="685"/>
      <c r="F412" s="166"/>
      <c r="G412" s="726"/>
      <c r="H412" s="673"/>
      <c r="I412" s="166"/>
      <c r="J412" s="727"/>
    </row>
    <row r="413" spans="1:10" s="658" customFormat="1" ht="15" hidden="1">
      <c r="A413" s="869"/>
      <c r="B413" s="869"/>
      <c r="C413" s="870"/>
      <c r="D413" s="869"/>
      <c r="E413" s="685"/>
      <c r="F413" s="166"/>
      <c r="G413" s="726"/>
      <c r="H413" s="673"/>
      <c r="I413" s="166"/>
      <c r="J413" s="727"/>
    </row>
    <row r="414" spans="1:10" s="658" customFormat="1" ht="15" customHeight="1">
      <c r="A414" s="870" t="s">
        <v>495</v>
      </c>
      <c r="B414" s="870" t="s">
        <v>494</v>
      </c>
      <c r="C414" s="870" t="s">
        <v>758</v>
      </c>
      <c r="D414" s="869" t="s">
        <v>496</v>
      </c>
      <c r="E414" s="685"/>
      <c r="F414" s="166"/>
      <c r="G414" s="726"/>
      <c r="H414" s="673"/>
      <c r="I414" s="674">
        <f>SUM(I415:I475)</f>
        <v>18647430.819999997</v>
      </c>
      <c r="J414" s="727"/>
    </row>
    <row r="415" spans="1:10" s="658" customFormat="1" ht="30.75" hidden="1">
      <c r="A415" s="870"/>
      <c r="B415" s="870"/>
      <c r="C415" s="870"/>
      <c r="D415" s="869"/>
      <c r="E415" s="685" t="s">
        <v>1486</v>
      </c>
      <c r="F415" s="696">
        <v>2020</v>
      </c>
      <c r="G415" s="166">
        <v>823000</v>
      </c>
      <c r="H415" s="673">
        <v>0</v>
      </c>
      <c r="I415" s="166"/>
      <c r="J415" s="727">
        <v>100</v>
      </c>
    </row>
    <row r="416" spans="1:10" s="658" customFormat="1" ht="15">
      <c r="A416" s="870"/>
      <c r="B416" s="870"/>
      <c r="C416" s="870"/>
      <c r="D416" s="869"/>
      <c r="E416" s="685" t="s">
        <v>1487</v>
      </c>
      <c r="F416" s="696">
        <v>2020</v>
      </c>
      <c r="G416" s="166">
        <v>1450000</v>
      </c>
      <c r="H416" s="673">
        <v>0</v>
      </c>
      <c r="I416" s="166">
        <f>1000000+450000</f>
        <v>1450000</v>
      </c>
      <c r="J416" s="727">
        <v>100</v>
      </c>
    </row>
    <row r="417" spans="1:10" ht="30.75">
      <c r="A417" s="870"/>
      <c r="B417" s="870"/>
      <c r="C417" s="870"/>
      <c r="D417" s="869"/>
      <c r="E417" s="681" t="s">
        <v>1488</v>
      </c>
      <c r="F417" s="677">
        <v>2020</v>
      </c>
      <c r="G417" s="99">
        <v>8428.85</v>
      </c>
      <c r="H417" s="678">
        <v>0</v>
      </c>
      <c r="I417" s="662">
        <f>10490-2061.15</f>
        <v>8428.85</v>
      </c>
      <c r="J417" s="734">
        <v>100</v>
      </c>
    </row>
    <row r="418" spans="1:10" s="658" customFormat="1" ht="30.75">
      <c r="A418" s="870"/>
      <c r="B418" s="870"/>
      <c r="C418" s="870"/>
      <c r="D418" s="869"/>
      <c r="E418" s="682" t="s">
        <v>1489</v>
      </c>
      <c r="F418" s="677">
        <v>2020</v>
      </c>
      <c r="G418" s="166">
        <v>110000</v>
      </c>
      <c r="H418" s="673">
        <v>0</v>
      </c>
      <c r="I418" s="686">
        <v>110000</v>
      </c>
      <c r="J418" s="727">
        <v>100</v>
      </c>
    </row>
    <row r="419" spans="1:10" s="658" customFormat="1" ht="30.75">
      <c r="A419" s="870"/>
      <c r="B419" s="870"/>
      <c r="C419" s="870"/>
      <c r="D419" s="869"/>
      <c r="E419" s="682" t="s">
        <v>1490</v>
      </c>
      <c r="F419" s="696" t="s">
        <v>1266</v>
      </c>
      <c r="G419" s="686">
        <v>90000</v>
      </c>
      <c r="H419" s="673">
        <v>0</v>
      </c>
      <c r="I419" s="713">
        <f>50000+40000-79000</f>
        <v>11000</v>
      </c>
      <c r="J419" s="727">
        <v>12.2</v>
      </c>
    </row>
    <row r="420" spans="1:10" s="658" customFormat="1" ht="30.75">
      <c r="A420" s="870"/>
      <c r="B420" s="870"/>
      <c r="C420" s="870"/>
      <c r="D420" s="869"/>
      <c r="E420" s="682" t="s">
        <v>1491</v>
      </c>
      <c r="F420" s="166" t="s">
        <v>1492</v>
      </c>
      <c r="G420" s="166">
        <v>10000000</v>
      </c>
      <c r="H420" s="673">
        <v>1.7</v>
      </c>
      <c r="I420" s="713">
        <f>531055.84+300000</f>
        <v>831055.84</v>
      </c>
      <c r="J420" s="727">
        <v>10</v>
      </c>
    </row>
    <row r="421" spans="1:10" s="658" customFormat="1" ht="46.5">
      <c r="A421" s="870"/>
      <c r="B421" s="870"/>
      <c r="C421" s="870"/>
      <c r="D421" s="869"/>
      <c r="E421" s="698" t="s">
        <v>1493</v>
      </c>
      <c r="F421" s="696">
        <v>2020</v>
      </c>
      <c r="G421" s="166">
        <v>226413</v>
      </c>
      <c r="H421" s="673">
        <v>0</v>
      </c>
      <c r="I421" s="701">
        <v>226413</v>
      </c>
      <c r="J421" s="727">
        <v>100</v>
      </c>
    </row>
    <row r="422" spans="1:10" s="658" customFormat="1" ht="46.5">
      <c r="A422" s="870"/>
      <c r="B422" s="870"/>
      <c r="C422" s="870"/>
      <c r="D422" s="869"/>
      <c r="E422" s="735" t="s">
        <v>1494</v>
      </c>
      <c r="F422" s="696" t="s">
        <v>1266</v>
      </c>
      <c r="G422" s="686">
        <f>504910-250000</f>
        <v>254910</v>
      </c>
      <c r="H422" s="673">
        <v>0</v>
      </c>
      <c r="I422" s="713">
        <f>504910-250000-200000+200000</f>
        <v>254910</v>
      </c>
      <c r="J422" s="727">
        <v>21.5</v>
      </c>
    </row>
    <row r="423" spans="1:10" s="658" customFormat="1" ht="46.5">
      <c r="A423" s="870"/>
      <c r="B423" s="870"/>
      <c r="C423" s="870"/>
      <c r="D423" s="869"/>
      <c r="E423" s="736" t="s">
        <v>1495</v>
      </c>
      <c r="F423" s="696" t="s">
        <v>1266</v>
      </c>
      <c r="G423" s="686">
        <v>461725</v>
      </c>
      <c r="H423" s="673">
        <v>0</v>
      </c>
      <c r="I423" s="713">
        <f>461725-400000+400000</f>
        <v>461725</v>
      </c>
      <c r="J423" s="727">
        <v>13.2</v>
      </c>
    </row>
    <row r="424" spans="1:10" s="658" customFormat="1" ht="43.5" customHeight="1">
      <c r="A424" s="870"/>
      <c r="B424" s="870"/>
      <c r="C424" s="870"/>
      <c r="D424" s="869"/>
      <c r="E424" s="682" t="s">
        <v>1496</v>
      </c>
      <c r="F424" s="696">
        <v>2020</v>
      </c>
      <c r="G424" s="686">
        <v>300000</v>
      </c>
      <c r="H424" s="673">
        <v>0</v>
      </c>
      <c r="I424" s="686">
        <v>300000</v>
      </c>
      <c r="J424" s="727">
        <v>100</v>
      </c>
    </row>
    <row r="425" spans="1:10" s="658" customFormat="1" ht="46.5">
      <c r="A425" s="870"/>
      <c r="B425" s="870"/>
      <c r="C425" s="870"/>
      <c r="D425" s="869"/>
      <c r="E425" s="682" t="s">
        <v>1497</v>
      </c>
      <c r="F425" s="696">
        <v>2020</v>
      </c>
      <c r="G425" s="686">
        <v>300000</v>
      </c>
      <c r="H425" s="673">
        <v>0</v>
      </c>
      <c r="I425" s="686">
        <v>300000</v>
      </c>
      <c r="J425" s="727">
        <v>100</v>
      </c>
    </row>
    <row r="426" spans="1:10" s="658" customFormat="1" ht="46.5">
      <c r="A426" s="870"/>
      <c r="B426" s="870"/>
      <c r="C426" s="870"/>
      <c r="D426" s="869"/>
      <c r="E426" s="685" t="s">
        <v>1498</v>
      </c>
      <c r="F426" s="696">
        <v>2020</v>
      </c>
      <c r="G426" s="166">
        <v>350892</v>
      </c>
      <c r="H426" s="673">
        <v>0</v>
      </c>
      <c r="I426" s="166">
        <v>350892</v>
      </c>
      <c r="J426" s="727">
        <v>100</v>
      </c>
    </row>
    <row r="427" spans="1:10" s="658" customFormat="1" ht="30.75">
      <c r="A427" s="870"/>
      <c r="B427" s="870"/>
      <c r="C427" s="870"/>
      <c r="D427" s="869"/>
      <c r="E427" s="685" t="s">
        <v>1499</v>
      </c>
      <c r="F427" s="696">
        <v>2020</v>
      </c>
      <c r="G427" s="166">
        <v>350000</v>
      </c>
      <c r="H427" s="673">
        <v>0</v>
      </c>
      <c r="I427" s="166">
        <v>350000</v>
      </c>
      <c r="J427" s="727">
        <v>100</v>
      </c>
    </row>
    <row r="428" spans="1:10" s="658" customFormat="1" ht="46.5">
      <c r="A428" s="870"/>
      <c r="B428" s="870"/>
      <c r="C428" s="870"/>
      <c r="D428" s="869"/>
      <c r="E428" s="698" t="s">
        <v>1500</v>
      </c>
      <c r="F428" s="696">
        <v>2020</v>
      </c>
      <c r="G428" s="166">
        <v>471500</v>
      </c>
      <c r="H428" s="673">
        <v>0</v>
      </c>
      <c r="I428" s="166">
        <v>471500</v>
      </c>
      <c r="J428" s="727">
        <v>100</v>
      </c>
    </row>
    <row r="429" spans="1:10" s="658" customFormat="1" ht="30.75">
      <c r="A429" s="870"/>
      <c r="B429" s="870"/>
      <c r="C429" s="870"/>
      <c r="D429" s="869"/>
      <c r="E429" s="698" t="s">
        <v>1501</v>
      </c>
      <c r="F429" s="696">
        <v>2020</v>
      </c>
      <c r="G429" s="166">
        <v>265000</v>
      </c>
      <c r="H429" s="673">
        <v>0</v>
      </c>
      <c r="I429" s="166">
        <v>265000</v>
      </c>
      <c r="J429" s="727">
        <v>100</v>
      </c>
    </row>
    <row r="430" spans="1:10" s="658" customFormat="1" ht="30.75">
      <c r="A430" s="870"/>
      <c r="B430" s="870"/>
      <c r="C430" s="870"/>
      <c r="D430" s="869"/>
      <c r="E430" s="735" t="s">
        <v>1502</v>
      </c>
      <c r="F430" s="696">
        <v>2020</v>
      </c>
      <c r="G430" s="686">
        <v>257255</v>
      </c>
      <c r="H430" s="673">
        <v>0</v>
      </c>
      <c r="I430" s="713">
        <f>257255-200000+200000</f>
        <v>257255</v>
      </c>
      <c r="J430" s="727">
        <v>100</v>
      </c>
    </row>
    <row r="431" spans="1:10" s="658" customFormat="1" ht="46.5">
      <c r="A431" s="870"/>
      <c r="B431" s="870"/>
      <c r="C431" s="870"/>
      <c r="D431" s="869"/>
      <c r="E431" s="735" t="s">
        <v>1503</v>
      </c>
      <c r="F431" s="696">
        <v>2020</v>
      </c>
      <c r="G431" s="686">
        <v>258750</v>
      </c>
      <c r="H431" s="673">
        <v>0</v>
      </c>
      <c r="I431" s="713">
        <f>258750-200000+200000</f>
        <v>258750</v>
      </c>
      <c r="J431" s="727">
        <v>100</v>
      </c>
    </row>
    <row r="432" spans="1:10" s="658" customFormat="1" ht="46.5">
      <c r="A432" s="870"/>
      <c r="B432" s="870"/>
      <c r="C432" s="870"/>
      <c r="D432" s="869"/>
      <c r="E432" s="735" t="s">
        <v>1504</v>
      </c>
      <c r="F432" s="696">
        <v>2020</v>
      </c>
      <c r="G432" s="686">
        <v>247250</v>
      </c>
      <c r="H432" s="673">
        <v>0</v>
      </c>
      <c r="I432" s="713">
        <f>247250-200000+200000</f>
        <v>247250</v>
      </c>
      <c r="J432" s="727">
        <v>100</v>
      </c>
    </row>
    <row r="433" spans="1:10" s="658" customFormat="1" ht="46.5">
      <c r="A433" s="870"/>
      <c r="B433" s="870"/>
      <c r="C433" s="870"/>
      <c r="D433" s="869"/>
      <c r="E433" s="682" t="s">
        <v>1505</v>
      </c>
      <c r="F433" s="696">
        <v>2020</v>
      </c>
      <c r="G433" s="686">
        <v>500000</v>
      </c>
      <c r="H433" s="673">
        <v>0</v>
      </c>
      <c r="I433" s="713">
        <v>500000</v>
      </c>
      <c r="J433" s="727">
        <v>100</v>
      </c>
    </row>
    <row r="434" spans="1:10" s="658" customFormat="1" ht="30.75">
      <c r="A434" s="870"/>
      <c r="B434" s="870"/>
      <c r="C434" s="870"/>
      <c r="D434" s="869"/>
      <c r="E434" s="682" t="s">
        <v>1506</v>
      </c>
      <c r="F434" s="696">
        <v>2020</v>
      </c>
      <c r="G434" s="686">
        <v>300000</v>
      </c>
      <c r="H434" s="673">
        <v>0</v>
      </c>
      <c r="I434" s="713">
        <v>300000</v>
      </c>
      <c r="J434" s="727">
        <v>100</v>
      </c>
    </row>
    <row r="435" spans="1:10" s="658" customFormat="1" ht="46.5">
      <c r="A435" s="870"/>
      <c r="B435" s="870"/>
      <c r="C435" s="870"/>
      <c r="D435" s="869"/>
      <c r="E435" s="698" t="s">
        <v>1507</v>
      </c>
      <c r="F435" s="696">
        <v>2020</v>
      </c>
      <c r="G435" s="166">
        <v>885500</v>
      </c>
      <c r="H435" s="673">
        <v>0</v>
      </c>
      <c r="I435" s="701">
        <f>885500-670000+670000</f>
        <v>885500</v>
      </c>
      <c r="J435" s="727">
        <v>100</v>
      </c>
    </row>
    <row r="436" spans="1:10" s="658" customFormat="1" ht="30.75">
      <c r="A436" s="870"/>
      <c r="B436" s="870"/>
      <c r="C436" s="870"/>
      <c r="D436" s="869"/>
      <c r="E436" s="682" t="s">
        <v>1508</v>
      </c>
      <c r="F436" s="696" t="s">
        <v>1266</v>
      </c>
      <c r="G436" s="686">
        <v>590000</v>
      </c>
      <c r="H436" s="673">
        <v>0</v>
      </c>
      <c r="I436" s="713">
        <f>590000-490000</f>
        <v>100000</v>
      </c>
      <c r="J436" s="727">
        <v>16.9</v>
      </c>
    </row>
    <row r="437" spans="1:10" s="658" customFormat="1" ht="45" customHeight="1">
      <c r="A437" s="870"/>
      <c r="B437" s="870"/>
      <c r="C437" s="870"/>
      <c r="D437" s="869"/>
      <c r="E437" s="682" t="s">
        <v>1509</v>
      </c>
      <c r="F437" s="696">
        <v>2020</v>
      </c>
      <c r="G437" s="686">
        <v>400000</v>
      </c>
      <c r="H437" s="673">
        <v>0</v>
      </c>
      <c r="I437" s="713">
        <v>400000</v>
      </c>
      <c r="J437" s="727">
        <v>100</v>
      </c>
    </row>
    <row r="438" spans="1:10" s="658" customFormat="1" ht="30.75">
      <c r="A438" s="870"/>
      <c r="B438" s="870"/>
      <c r="C438" s="870"/>
      <c r="D438" s="869"/>
      <c r="E438" s="682" t="s">
        <v>1510</v>
      </c>
      <c r="F438" s="696" t="s">
        <v>1266</v>
      </c>
      <c r="G438" s="686">
        <v>975000</v>
      </c>
      <c r="H438" s="673">
        <v>0</v>
      </c>
      <c r="I438" s="713">
        <f>975000-875000</f>
        <v>100000</v>
      </c>
      <c r="J438" s="727">
        <v>10.3</v>
      </c>
    </row>
    <row r="439" spans="1:10" s="658" customFormat="1" ht="46.5">
      <c r="A439" s="870"/>
      <c r="B439" s="870"/>
      <c r="C439" s="870"/>
      <c r="D439" s="869"/>
      <c r="E439" s="735" t="s">
        <v>1511</v>
      </c>
      <c r="F439" s="696" t="s">
        <v>1266</v>
      </c>
      <c r="G439" s="686">
        <v>274800</v>
      </c>
      <c r="H439" s="673">
        <v>0</v>
      </c>
      <c r="I439" s="713">
        <f>519800-245000-200000+200000</f>
        <v>274800</v>
      </c>
      <c r="J439" s="727">
        <v>27</v>
      </c>
    </row>
    <row r="440" spans="1:10" s="658" customFormat="1" ht="46.5">
      <c r="A440" s="870"/>
      <c r="B440" s="870"/>
      <c r="C440" s="870"/>
      <c r="D440" s="869"/>
      <c r="E440" s="685" t="s">
        <v>1512</v>
      </c>
      <c r="F440" s="696">
        <v>2020</v>
      </c>
      <c r="G440" s="166">
        <v>650000</v>
      </c>
      <c r="H440" s="673">
        <v>0</v>
      </c>
      <c r="I440" s="701">
        <v>650000</v>
      </c>
      <c r="J440" s="727">
        <v>100</v>
      </c>
    </row>
    <row r="441" spans="1:10" s="658" customFormat="1" ht="30.75">
      <c r="A441" s="870"/>
      <c r="B441" s="870"/>
      <c r="C441" s="870"/>
      <c r="D441" s="869"/>
      <c r="E441" s="682" t="s">
        <v>1513</v>
      </c>
      <c r="F441" s="696" t="s">
        <v>1266</v>
      </c>
      <c r="G441" s="686">
        <v>785000</v>
      </c>
      <c r="H441" s="673">
        <v>0</v>
      </c>
      <c r="I441" s="713">
        <f>785000-685000</f>
        <v>100000</v>
      </c>
      <c r="J441" s="727">
        <v>12.7</v>
      </c>
    </row>
    <row r="442" spans="1:10" s="658" customFormat="1" ht="46.5">
      <c r="A442" s="870"/>
      <c r="B442" s="870"/>
      <c r="C442" s="870"/>
      <c r="D442" s="869"/>
      <c r="E442" s="685" t="s">
        <v>1514</v>
      </c>
      <c r="F442" s="696">
        <v>2020</v>
      </c>
      <c r="G442" s="166">
        <v>1400000</v>
      </c>
      <c r="H442" s="673">
        <v>0</v>
      </c>
      <c r="I442" s="166">
        <v>1400000</v>
      </c>
      <c r="J442" s="727">
        <v>100</v>
      </c>
    </row>
    <row r="443" spans="1:10" s="658" customFormat="1" ht="30.75">
      <c r="A443" s="870"/>
      <c r="B443" s="870"/>
      <c r="C443" s="870"/>
      <c r="D443" s="869"/>
      <c r="E443" s="682" t="s">
        <v>1515</v>
      </c>
      <c r="F443" s="696">
        <v>2020</v>
      </c>
      <c r="G443" s="686">
        <v>634829.13</v>
      </c>
      <c r="H443" s="673">
        <v>0</v>
      </c>
      <c r="I443" s="686">
        <v>634829.13</v>
      </c>
      <c r="J443" s="727">
        <v>100</v>
      </c>
    </row>
    <row r="444" spans="1:10" s="658" customFormat="1" ht="30.75">
      <c r="A444" s="870"/>
      <c r="B444" s="870"/>
      <c r="C444" s="870"/>
      <c r="D444" s="869"/>
      <c r="E444" s="698" t="s">
        <v>1516</v>
      </c>
      <c r="F444" s="683">
        <v>2020</v>
      </c>
      <c r="G444" s="166">
        <v>900000</v>
      </c>
      <c r="H444" s="673">
        <v>0</v>
      </c>
      <c r="I444" s="686">
        <v>900000</v>
      </c>
      <c r="J444" s="727">
        <v>100</v>
      </c>
    </row>
    <row r="445" spans="1:10" s="658" customFormat="1" ht="30.75">
      <c r="A445" s="870"/>
      <c r="B445" s="870"/>
      <c r="C445" s="870"/>
      <c r="D445" s="869"/>
      <c r="E445" s="698" t="s">
        <v>1517</v>
      </c>
      <c r="F445" s="683">
        <v>2020</v>
      </c>
      <c r="G445" s="166">
        <v>854105</v>
      </c>
      <c r="H445" s="673">
        <v>0</v>
      </c>
      <c r="I445" s="686">
        <v>854105</v>
      </c>
      <c r="J445" s="727">
        <v>100</v>
      </c>
    </row>
    <row r="446" spans="1:10" s="658" customFormat="1" ht="46.5">
      <c r="A446" s="870"/>
      <c r="B446" s="870"/>
      <c r="C446" s="870"/>
      <c r="D446" s="869"/>
      <c r="E446" s="698" t="s">
        <v>1518</v>
      </c>
      <c r="F446" s="696">
        <v>2020</v>
      </c>
      <c r="G446" s="686">
        <v>520000</v>
      </c>
      <c r="H446" s="673">
        <v>0</v>
      </c>
      <c r="I446" s="686">
        <v>520000</v>
      </c>
      <c r="J446" s="727">
        <v>100</v>
      </c>
    </row>
    <row r="447" spans="1:10" ht="46.5">
      <c r="A447" s="870"/>
      <c r="B447" s="870"/>
      <c r="C447" s="870"/>
      <c r="D447" s="869"/>
      <c r="E447" s="681" t="s">
        <v>1519</v>
      </c>
      <c r="F447" s="737">
        <v>2020</v>
      </c>
      <c r="G447" s="662">
        <v>1580000</v>
      </c>
      <c r="H447" s="678">
        <v>0</v>
      </c>
      <c r="I447" s="662">
        <v>1580000</v>
      </c>
      <c r="J447" s="734">
        <v>100</v>
      </c>
    </row>
    <row r="448" spans="1:10" ht="36" customHeight="1">
      <c r="A448" s="870"/>
      <c r="B448" s="870"/>
      <c r="C448" s="870"/>
      <c r="D448" s="869"/>
      <c r="E448" s="681" t="s">
        <v>1520</v>
      </c>
      <c r="F448" s="737">
        <v>2020</v>
      </c>
      <c r="G448" s="662">
        <v>445423.29</v>
      </c>
      <c r="H448" s="678">
        <v>0</v>
      </c>
      <c r="I448" s="662">
        <v>445423.29</v>
      </c>
      <c r="J448" s="734">
        <v>100</v>
      </c>
    </row>
    <row r="449" spans="1:10" ht="30.75">
      <c r="A449" s="870"/>
      <c r="B449" s="870"/>
      <c r="C449" s="870"/>
      <c r="D449" s="869"/>
      <c r="E449" s="681" t="s">
        <v>1521</v>
      </c>
      <c r="F449" s="737" t="s">
        <v>1266</v>
      </c>
      <c r="G449" s="99">
        <v>110000</v>
      </c>
      <c r="H449" s="678">
        <v>0</v>
      </c>
      <c r="I449" s="662">
        <v>65000</v>
      </c>
      <c r="J449" s="734">
        <v>59</v>
      </c>
    </row>
    <row r="450" spans="1:10" ht="30.75">
      <c r="A450" s="870"/>
      <c r="B450" s="870"/>
      <c r="C450" s="870"/>
      <c r="D450" s="869"/>
      <c r="E450" s="681" t="s">
        <v>1522</v>
      </c>
      <c r="F450" s="737" t="s">
        <v>1266</v>
      </c>
      <c r="G450" s="99">
        <v>110000</v>
      </c>
      <c r="H450" s="678">
        <v>0</v>
      </c>
      <c r="I450" s="662">
        <f>69510-62873.48</f>
        <v>6636.519999999997</v>
      </c>
      <c r="J450" s="734">
        <v>6</v>
      </c>
    </row>
    <row r="451" spans="1:10" ht="37.5" customHeight="1">
      <c r="A451" s="870"/>
      <c r="B451" s="870"/>
      <c r="C451" s="870"/>
      <c r="D451" s="869"/>
      <c r="E451" s="681" t="s">
        <v>1523</v>
      </c>
      <c r="F451" s="737">
        <v>2020</v>
      </c>
      <c r="G451" s="662">
        <v>100000</v>
      </c>
      <c r="H451" s="678">
        <v>0</v>
      </c>
      <c r="I451" s="662">
        <v>100000</v>
      </c>
      <c r="J451" s="734">
        <v>100</v>
      </c>
    </row>
    <row r="452" spans="1:10" ht="30.75">
      <c r="A452" s="870"/>
      <c r="B452" s="870"/>
      <c r="C452" s="870"/>
      <c r="D452" s="869"/>
      <c r="E452" s="681" t="s">
        <v>1524</v>
      </c>
      <c r="F452" s="737">
        <v>2020</v>
      </c>
      <c r="G452" s="99">
        <v>130000</v>
      </c>
      <c r="H452" s="678">
        <v>0</v>
      </c>
      <c r="I452" s="662">
        <v>130000</v>
      </c>
      <c r="J452" s="734">
        <v>100</v>
      </c>
    </row>
    <row r="453" spans="1:10" ht="30.75">
      <c r="A453" s="870"/>
      <c r="B453" s="870"/>
      <c r="C453" s="870"/>
      <c r="D453" s="869"/>
      <c r="E453" s="681" t="s">
        <v>1525</v>
      </c>
      <c r="F453" s="99" t="s">
        <v>1266</v>
      </c>
      <c r="G453" s="99">
        <v>110000</v>
      </c>
      <c r="H453" s="678">
        <v>0</v>
      </c>
      <c r="I453" s="662">
        <v>100000</v>
      </c>
      <c r="J453" s="734">
        <v>90</v>
      </c>
    </row>
    <row r="454" spans="1:10" ht="30.75">
      <c r="A454" s="870"/>
      <c r="B454" s="870"/>
      <c r="C454" s="870"/>
      <c r="D454" s="869"/>
      <c r="E454" s="681" t="s">
        <v>1526</v>
      </c>
      <c r="F454" s="737" t="s">
        <v>1266</v>
      </c>
      <c r="G454" s="99">
        <v>110000</v>
      </c>
      <c r="H454" s="678">
        <v>0</v>
      </c>
      <c r="I454" s="662">
        <v>75000</v>
      </c>
      <c r="J454" s="734">
        <v>68.2</v>
      </c>
    </row>
    <row r="455" spans="1:10" ht="30.75">
      <c r="A455" s="870"/>
      <c r="B455" s="870"/>
      <c r="C455" s="870"/>
      <c r="D455" s="869"/>
      <c r="E455" s="681" t="s">
        <v>1527</v>
      </c>
      <c r="F455" s="696" t="s">
        <v>1266</v>
      </c>
      <c r="G455" s="662">
        <v>75000</v>
      </c>
      <c r="H455" s="678">
        <v>0</v>
      </c>
      <c r="I455" s="713">
        <f>75000-63000</f>
        <v>12000</v>
      </c>
      <c r="J455" s="734">
        <v>16</v>
      </c>
    </row>
    <row r="456" spans="1:10" ht="30.75">
      <c r="A456" s="870"/>
      <c r="B456" s="870"/>
      <c r="C456" s="870"/>
      <c r="D456" s="869"/>
      <c r="E456" s="681" t="s">
        <v>1528</v>
      </c>
      <c r="F456" s="696" t="s">
        <v>1266</v>
      </c>
      <c r="G456" s="662">
        <v>75000</v>
      </c>
      <c r="H456" s="678">
        <v>0</v>
      </c>
      <c r="I456" s="713">
        <f>75000-64000</f>
        <v>11000</v>
      </c>
      <c r="J456" s="734">
        <v>14.7</v>
      </c>
    </row>
    <row r="457" spans="1:10" ht="39" customHeight="1" hidden="1">
      <c r="A457" s="870"/>
      <c r="B457" s="870"/>
      <c r="C457" s="870"/>
      <c r="D457" s="869"/>
      <c r="E457" s="681" t="s">
        <v>1529</v>
      </c>
      <c r="F457" s="737">
        <v>2020</v>
      </c>
      <c r="G457" s="662">
        <v>75000</v>
      </c>
      <c r="H457" s="678">
        <v>0</v>
      </c>
      <c r="I457" s="713"/>
      <c r="J457" s="734">
        <v>100</v>
      </c>
    </row>
    <row r="458" spans="1:10" ht="33" customHeight="1" hidden="1">
      <c r="A458" s="870"/>
      <c r="B458" s="870"/>
      <c r="C458" s="870"/>
      <c r="D458" s="869"/>
      <c r="E458" s="681" t="s">
        <v>1530</v>
      </c>
      <c r="F458" s="737">
        <v>2020</v>
      </c>
      <c r="G458" s="662">
        <v>75000</v>
      </c>
      <c r="H458" s="678">
        <v>0</v>
      </c>
      <c r="I458" s="713"/>
      <c r="J458" s="734">
        <v>100</v>
      </c>
    </row>
    <row r="459" spans="1:10" ht="30.75">
      <c r="A459" s="870"/>
      <c r="B459" s="870"/>
      <c r="C459" s="870"/>
      <c r="D459" s="869"/>
      <c r="E459" s="681" t="s">
        <v>1531</v>
      </c>
      <c r="F459" s="696">
        <v>2020</v>
      </c>
      <c r="G459" s="662">
        <v>107000</v>
      </c>
      <c r="H459" s="678">
        <v>0</v>
      </c>
      <c r="I459" s="713">
        <f>75000-65000+97000</f>
        <v>107000</v>
      </c>
      <c r="J459" s="734">
        <v>100</v>
      </c>
    </row>
    <row r="460" spans="1:10" ht="30.75">
      <c r="A460" s="870"/>
      <c r="B460" s="870"/>
      <c r="C460" s="870"/>
      <c r="D460" s="869"/>
      <c r="E460" s="681" t="s">
        <v>1532</v>
      </c>
      <c r="F460" s="737">
        <v>2020</v>
      </c>
      <c r="G460" s="99">
        <v>119934.63</v>
      </c>
      <c r="H460" s="678">
        <v>0</v>
      </c>
      <c r="I460" s="713">
        <f>55000+64934.63</f>
        <v>119934.63</v>
      </c>
      <c r="J460" s="734">
        <v>100</v>
      </c>
    </row>
    <row r="461" spans="1:10" s="658" customFormat="1" ht="30.75">
      <c r="A461" s="870"/>
      <c r="B461" s="870"/>
      <c r="C461" s="870"/>
      <c r="D461" s="869"/>
      <c r="E461" s="682" t="s">
        <v>1533</v>
      </c>
      <c r="F461" s="696" t="s">
        <v>1266</v>
      </c>
      <c r="G461" s="686">
        <v>75000</v>
      </c>
      <c r="H461" s="673">
        <v>0</v>
      </c>
      <c r="I461" s="713">
        <f>75000-64000</f>
        <v>11000</v>
      </c>
      <c r="J461" s="727">
        <v>14.7</v>
      </c>
    </row>
    <row r="462" spans="1:10" s="658" customFormat="1" ht="30.75">
      <c r="A462" s="870"/>
      <c r="B462" s="870"/>
      <c r="C462" s="870"/>
      <c r="D462" s="869"/>
      <c r="E462" s="682" t="s">
        <v>1534</v>
      </c>
      <c r="F462" s="696">
        <v>2020</v>
      </c>
      <c r="G462" s="686">
        <v>95000</v>
      </c>
      <c r="H462" s="673">
        <v>0</v>
      </c>
      <c r="I462" s="713">
        <f>75000-65000+85000</f>
        <v>95000</v>
      </c>
      <c r="J462" s="727">
        <v>100</v>
      </c>
    </row>
    <row r="463" spans="1:10" s="658" customFormat="1" ht="30.75">
      <c r="A463" s="870"/>
      <c r="B463" s="870"/>
      <c r="C463" s="870"/>
      <c r="D463" s="869"/>
      <c r="E463" s="682" t="s">
        <v>1535</v>
      </c>
      <c r="F463" s="696">
        <v>2020</v>
      </c>
      <c r="G463" s="686">
        <v>95000</v>
      </c>
      <c r="H463" s="673">
        <v>0</v>
      </c>
      <c r="I463" s="713">
        <f>75000-65000+85000</f>
        <v>95000</v>
      </c>
      <c r="J463" s="727">
        <v>100</v>
      </c>
    </row>
    <row r="464" spans="1:10" s="658" customFormat="1" ht="30.75">
      <c r="A464" s="870"/>
      <c r="B464" s="870"/>
      <c r="C464" s="870"/>
      <c r="D464" s="869"/>
      <c r="E464" s="682" t="s">
        <v>1536</v>
      </c>
      <c r="F464" s="696">
        <v>2020</v>
      </c>
      <c r="G464" s="686">
        <v>95000</v>
      </c>
      <c r="H464" s="673">
        <v>0</v>
      </c>
      <c r="I464" s="713">
        <f>75000-65000+85000</f>
        <v>95000</v>
      </c>
      <c r="J464" s="727">
        <v>100</v>
      </c>
    </row>
    <row r="465" spans="1:10" s="658" customFormat="1" ht="33.75" customHeight="1">
      <c r="A465" s="870"/>
      <c r="B465" s="870"/>
      <c r="C465" s="870"/>
      <c r="D465" s="869"/>
      <c r="E465" s="682" t="s">
        <v>1537</v>
      </c>
      <c r="F465" s="696" t="s">
        <v>1266</v>
      </c>
      <c r="G465" s="686">
        <v>75000</v>
      </c>
      <c r="H465" s="673">
        <v>0</v>
      </c>
      <c r="I465" s="713">
        <f>75000-60500</f>
        <v>14500</v>
      </c>
      <c r="J465" s="727">
        <v>19.3</v>
      </c>
    </row>
    <row r="466" spans="1:10" s="658" customFormat="1" ht="30.75">
      <c r="A466" s="870"/>
      <c r="B466" s="870"/>
      <c r="C466" s="870"/>
      <c r="D466" s="869"/>
      <c r="E466" s="682" t="s">
        <v>1538</v>
      </c>
      <c r="F466" s="696" t="s">
        <v>1266</v>
      </c>
      <c r="G466" s="686">
        <v>75000</v>
      </c>
      <c r="H466" s="673">
        <v>0</v>
      </c>
      <c r="I466" s="713">
        <f>75000-64100</f>
        <v>10900</v>
      </c>
      <c r="J466" s="727">
        <v>14.5</v>
      </c>
    </row>
    <row r="467" spans="1:10" s="658" customFormat="1" ht="30.75">
      <c r="A467" s="870"/>
      <c r="B467" s="870"/>
      <c r="C467" s="870"/>
      <c r="D467" s="869"/>
      <c r="E467" s="682" t="s">
        <v>1539</v>
      </c>
      <c r="F467" s="696">
        <v>2020</v>
      </c>
      <c r="G467" s="686">
        <v>107000</v>
      </c>
      <c r="H467" s="673">
        <v>0</v>
      </c>
      <c r="I467" s="713">
        <f>75000-65000+97000</f>
        <v>107000</v>
      </c>
      <c r="J467" s="727">
        <v>100</v>
      </c>
    </row>
    <row r="468" spans="1:10" s="658" customFormat="1" ht="30.75">
      <c r="A468" s="870"/>
      <c r="B468" s="870"/>
      <c r="C468" s="870"/>
      <c r="D468" s="869"/>
      <c r="E468" s="682" t="s">
        <v>1540</v>
      </c>
      <c r="F468" s="166" t="s">
        <v>1229</v>
      </c>
      <c r="G468" s="166">
        <v>110000</v>
      </c>
      <c r="H468" s="673">
        <v>9.090909090909093</v>
      </c>
      <c r="I468" s="713">
        <v>100000</v>
      </c>
      <c r="J468" s="727">
        <v>100</v>
      </c>
    </row>
    <row r="469" spans="1:10" s="658" customFormat="1" ht="30.75">
      <c r="A469" s="870"/>
      <c r="B469" s="870"/>
      <c r="C469" s="870"/>
      <c r="D469" s="869"/>
      <c r="E469" s="682" t="s">
        <v>1541</v>
      </c>
      <c r="F469" s="696" t="s">
        <v>1266</v>
      </c>
      <c r="G469" s="686">
        <v>75000</v>
      </c>
      <c r="H469" s="673">
        <v>0</v>
      </c>
      <c r="I469" s="713">
        <f>75000-64100</f>
        <v>10900</v>
      </c>
      <c r="J469" s="727">
        <v>14.5</v>
      </c>
    </row>
    <row r="470" spans="1:10" s="658" customFormat="1" ht="30.75">
      <c r="A470" s="870"/>
      <c r="B470" s="870"/>
      <c r="C470" s="870"/>
      <c r="D470" s="869"/>
      <c r="E470" s="682" t="s">
        <v>1542</v>
      </c>
      <c r="F470" s="696" t="s">
        <v>1266</v>
      </c>
      <c r="G470" s="686">
        <v>75000</v>
      </c>
      <c r="H470" s="673">
        <v>0</v>
      </c>
      <c r="I470" s="713">
        <f>75000-62500</f>
        <v>12500</v>
      </c>
      <c r="J470" s="727">
        <v>16.7</v>
      </c>
    </row>
    <row r="471" spans="1:10" s="658" customFormat="1" ht="30.75">
      <c r="A471" s="870"/>
      <c r="B471" s="870"/>
      <c r="C471" s="870"/>
      <c r="D471" s="869"/>
      <c r="E471" s="682" t="s">
        <v>1543</v>
      </c>
      <c r="F471" s="696" t="s">
        <v>1266</v>
      </c>
      <c r="G471" s="686">
        <v>75000</v>
      </c>
      <c r="H471" s="673">
        <v>0</v>
      </c>
      <c r="I471" s="713">
        <f>75000-62500</f>
        <v>12500</v>
      </c>
      <c r="J471" s="727">
        <v>16.7</v>
      </c>
    </row>
    <row r="472" spans="1:10" s="658" customFormat="1" ht="30.75" hidden="1">
      <c r="A472" s="870"/>
      <c r="B472" s="870"/>
      <c r="C472" s="870"/>
      <c r="D472" s="869"/>
      <c r="E472" s="682" t="s">
        <v>1544</v>
      </c>
      <c r="F472" s="696">
        <v>2020</v>
      </c>
      <c r="G472" s="686">
        <v>75000</v>
      </c>
      <c r="H472" s="673">
        <v>0</v>
      </c>
      <c r="I472" s="713"/>
      <c r="J472" s="727">
        <v>100</v>
      </c>
    </row>
    <row r="473" spans="1:10" s="658" customFormat="1" ht="30.75">
      <c r="A473" s="870"/>
      <c r="B473" s="870"/>
      <c r="C473" s="870"/>
      <c r="D473" s="869"/>
      <c r="E473" s="682" t="s">
        <v>1545</v>
      </c>
      <c r="F473" s="696">
        <v>2020</v>
      </c>
      <c r="G473" s="686">
        <v>107000</v>
      </c>
      <c r="H473" s="673">
        <v>0</v>
      </c>
      <c r="I473" s="713">
        <f>75000-65000+97000</f>
        <v>107000</v>
      </c>
      <c r="J473" s="727">
        <v>100</v>
      </c>
    </row>
    <row r="474" spans="1:10" s="658" customFormat="1" ht="30.75">
      <c r="A474" s="870"/>
      <c r="B474" s="870"/>
      <c r="C474" s="870"/>
      <c r="D474" s="869"/>
      <c r="E474" s="682" t="s">
        <v>1546</v>
      </c>
      <c r="F474" s="696">
        <v>2020</v>
      </c>
      <c r="G474" s="686">
        <v>95000</v>
      </c>
      <c r="H474" s="673">
        <v>0</v>
      </c>
      <c r="I474" s="713">
        <f>75000-65000+85000</f>
        <v>95000</v>
      </c>
      <c r="J474" s="727">
        <v>100</v>
      </c>
    </row>
    <row r="475" spans="1:10" s="658" customFormat="1" ht="30.75">
      <c r="A475" s="870"/>
      <c r="B475" s="870"/>
      <c r="C475" s="870"/>
      <c r="D475" s="869"/>
      <c r="E475" s="682" t="s">
        <v>1547</v>
      </c>
      <c r="F475" s="696" t="s">
        <v>1266</v>
      </c>
      <c r="G475" s="166">
        <v>2500000</v>
      </c>
      <c r="H475" s="673">
        <v>0</v>
      </c>
      <c r="I475" s="686">
        <f>854039.56+450000+51683</f>
        <v>1355722.56</v>
      </c>
      <c r="J475" s="727">
        <v>54.2</v>
      </c>
    </row>
    <row r="476" spans="1:10" s="658" customFormat="1" ht="15" hidden="1">
      <c r="A476" s="870" t="s">
        <v>323</v>
      </c>
      <c r="B476" s="870" t="s">
        <v>324</v>
      </c>
      <c r="C476" s="870" t="s">
        <v>434</v>
      </c>
      <c r="D476" s="869" t="s">
        <v>38</v>
      </c>
      <c r="E476" s="685"/>
      <c r="F476" s="166"/>
      <c r="G476" s="726"/>
      <c r="H476" s="673"/>
      <c r="I476" s="166"/>
      <c r="J476" s="727"/>
    </row>
    <row r="477" spans="1:10" s="658" customFormat="1" ht="15" hidden="1">
      <c r="A477" s="870"/>
      <c r="B477" s="870"/>
      <c r="C477" s="870"/>
      <c r="D477" s="869"/>
      <c r="E477" s="685"/>
      <c r="F477" s="166"/>
      <c r="G477" s="726"/>
      <c r="H477" s="673"/>
      <c r="I477" s="166"/>
      <c r="J477" s="727"/>
    </row>
    <row r="478" spans="1:10" s="658" customFormat="1" ht="15">
      <c r="A478" s="869">
        <v>1217363</v>
      </c>
      <c r="B478" s="869" t="s">
        <v>1388</v>
      </c>
      <c r="C478" s="869" t="s">
        <v>411</v>
      </c>
      <c r="D478" s="869" t="s">
        <v>624</v>
      </c>
      <c r="E478" s="685"/>
      <c r="F478" s="166"/>
      <c r="G478" s="726"/>
      <c r="H478" s="673"/>
      <c r="I478" s="674">
        <f>I479</f>
        <v>39643</v>
      </c>
      <c r="J478" s="727"/>
    </row>
    <row r="479" spans="1:10" s="658" customFormat="1" ht="46.5">
      <c r="A479" s="869"/>
      <c r="B479" s="869"/>
      <c r="C479" s="869"/>
      <c r="D479" s="869"/>
      <c r="E479" s="685" t="s">
        <v>1548</v>
      </c>
      <c r="F479" s="166"/>
      <c r="G479" s="726"/>
      <c r="H479" s="673"/>
      <c r="I479" s="166">
        <f>39643-38488.35+38488.35</f>
        <v>39643</v>
      </c>
      <c r="J479" s="727"/>
    </row>
    <row r="480" spans="1:10" s="658" customFormat="1" ht="15">
      <c r="A480" s="867" t="s">
        <v>548</v>
      </c>
      <c r="B480" s="867" t="s">
        <v>549</v>
      </c>
      <c r="C480" s="867" t="s">
        <v>807</v>
      </c>
      <c r="D480" s="868" t="s">
        <v>547</v>
      </c>
      <c r="E480" s="655"/>
      <c r="F480" s="166"/>
      <c r="G480" s="726"/>
      <c r="H480" s="673"/>
      <c r="I480" s="674">
        <f>SUM(I481:I539)</f>
        <v>48331336.569999985</v>
      </c>
      <c r="J480" s="727"/>
    </row>
    <row r="481" spans="1:11" s="658" customFormat="1" ht="30.75">
      <c r="A481" s="867"/>
      <c r="B481" s="867"/>
      <c r="C481" s="867"/>
      <c r="D481" s="868"/>
      <c r="E481" s="685" t="s">
        <v>1549</v>
      </c>
      <c r="F481" s="696">
        <v>2020</v>
      </c>
      <c r="G481" s="686">
        <v>1154000</v>
      </c>
      <c r="H481" s="673">
        <v>0</v>
      </c>
      <c r="I481" s="166">
        <v>1154000</v>
      </c>
      <c r="J481" s="727">
        <v>100</v>
      </c>
      <c r="K481" s="700"/>
    </row>
    <row r="482" spans="1:11" s="658" customFormat="1" ht="30.75">
      <c r="A482" s="867"/>
      <c r="B482" s="867"/>
      <c r="C482" s="867"/>
      <c r="D482" s="868"/>
      <c r="E482" s="738" t="s">
        <v>1550</v>
      </c>
      <c r="F482" s="696">
        <v>2020</v>
      </c>
      <c r="G482" s="686">
        <v>1400000</v>
      </c>
      <c r="H482" s="673">
        <v>0</v>
      </c>
      <c r="I482" s="686">
        <v>1400000</v>
      </c>
      <c r="J482" s="727">
        <v>100</v>
      </c>
      <c r="K482" s="700"/>
    </row>
    <row r="483" spans="1:11" s="658" customFormat="1" ht="30.75">
      <c r="A483" s="867"/>
      <c r="B483" s="867"/>
      <c r="C483" s="867"/>
      <c r="D483" s="868"/>
      <c r="E483" s="682" t="s">
        <v>1551</v>
      </c>
      <c r="F483" s="696">
        <v>2020</v>
      </c>
      <c r="G483" s="686">
        <v>1500000</v>
      </c>
      <c r="H483" s="673">
        <v>0</v>
      </c>
      <c r="I483" s="686">
        <v>1500000</v>
      </c>
      <c r="J483" s="727">
        <v>100</v>
      </c>
      <c r="K483" s="700"/>
    </row>
    <row r="484" spans="1:11" s="658" customFormat="1" ht="67.5" customHeight="1">
      <c r="A484" s="867"/>
      <c r="B484" s="867"/>
      <c r="C484" s="867"/>
      <c r="D484" s="868"/>
      <c r="E484" s="738" t="s">
        <v>1552</v>
      </c>
      <c r="F484" s="696">
        <v>2020</v>
      </c>
      <c r="G484" s="686">
        <v>1500000</v>
      </c>
      <c r="H484" s="673">
        <v>0</v>
      </c>
      <c r="I484" s="686">
        <v>1500000</v>
      </c>
      <c r="J484" s="727">
        <v>100</v>
      </c>
      <c r="K484" s="700"/>
    </row>
    <row r="485" spans="1:11" s="658" customFormat="1" ht="30.75">
      <c r="A485" s="867"/>
      <c r="B485" s="867"/>
      <c r="C485" s="867"/>
      <c r="D485" s="868"/>
      <c r="E485" s="685" t="s">
        <v>1553</v>
      </c>
      <c r="F485" s="696">
        <v>2020</v>
      </c>
      <c r="G485" s="686">
        <v>1490000</v>
      </c>
      <c r="H485" s="673">
        <v>0</v>
      </c>
      <c r="I485" s="166">
        <v>1490000</v>
      </c>
      <c r="J485" s="727">
        <v>100</v>
      </c>
      <c r="K485" s="700"/>
    </row>
    <row r="486" spans="1:11" s="658" customFormat="1" ht="30.75">
      <c r="A486" s="867"/>
      <c r="B486" s="867"/>
      <c r="C486" s="867"/>
      <c r="D486" s="868"/>
      <c r="E486" s="739" t="s">
        <v>1554</v>
      </c>
      <c r="F486" s="696">
        <v>2020</v>
      </c>
      <c r="G486" s="686">
        <v>1490000</v>
      </c>
      <c r="H486" s="673">
        <v>0</v>
      </c>
      <c r="I486" s="686">
        <v>1490000</v>
      </c>
      <c r="J486" s="727">
        <v>100</v>
      </c>
      <c r="K486" s="700"/>
    </row>
    <row r="487" spans="1:11" s="658" customFormat="1" ht="46.5">
      <c r="A487" s="867"/>
      <c r="B487" s="867"/>
      <c r="C487" s="867"/>
      <c r="D487" s="868"/>
      <c r="E487" s="682" t="s">
        <v>1555</v>
      </c>
      <c r="F487" s="696" t="s">
        <v>1266</v>
      </c>
      <c r="G487" s="686">
        <v>656000</v>
      </c>
      <c r="H487" s="673">
        <v>0</v>
      </c>
      <c r="I487" s="740">
        <v>10000</v>
      </c>
      <c r="J487" s="727">
        <v>1.5</v>
      </c>
      <c r="K487" s="700"/>
    </row>
    <row r="488" spans="1:11" s="658" customFormat="1" ht="46.5">
      <c r="A488" s="867"/>
      <c r="B488" s="867"/>
      <c r="C488" s="867"/>
      <c r="D488" s="868"/>
      <c r="E488" s="682" t="s">
        <v>1556</v>
      </c>
      <c r="F488" s="696">
        <v>2020</v>
      </c>
      <c r="G488" s="686">
        <v>1181000</v>
      </c>
      <c r="H488" s="673">
        <v>0</v>
      </c>
      <c r="I488" s="740">
        <v>1181000</v>
      </c>
      <c r="J488" s="727">
        <v>100</v>
      </c>
      <c r="K488" s="700"/>
    </row>
    <row r="489" spans="1:11" s="658" customFormat="1" ht="30.75">
      <c r="A489" s="867"/>
      <c r="B489" s="867"/>
      <c r="C489" s="867"/>
      <c r="D489" s="868"/>
      <c r="E489" s="682" t="s">
        <v>1557</v>
      </c>
      <c r="F489" s="696">
        <v>2020</v>
      </c>
      <c r="G489" s="686">
        <v>161206</v>
      </c>
      <c r="H489" s="673">
        <v>0</v>
      </c>
      <c r="I489" s="686">
        <v>161206</v>
      </c>
      <c r="J489" s="727">
        <v>100</v>
      </c>
      <c r="K489" s="700"/>
    </row>
    <row r="490" spans="1:11" s="658" customFormat="1" ht="30.75">
      <c r="A490" s="867"/>
      <c r="B490" s="867"/>
      <c r="C490" s="867"/>
      <c r="D490" s="868"/>
      <c r="E490" s="682" t="s">
        <v>1558</v>
      </c>
      <c r="F490" s="696">
        <v>2020</v>
      </c>
      <c r="G490" s="686">
        <v>280000</v>
      </c>
      <c r="H490" s="673">
        <v>0</v>
      </c>
      <c r="I490" s="686">
        <v>280000</v>
      </c>
      <c r="J490" s="727">
        <v>100</v>
      </c>
      <c r="K490" s="700"/>
    </row>
    <row r="491" spans="1:11" s="658" customFormat="1" ht="30.75">
      <c r="A491" s="867"/>
      <c r="B491" s="867"/>
      <c r="C491" s="867"/>
      <c r="D491" s="868"/>
      <c r="E491" s="682" t="s">
        <v>1559</v>
      </c>
      <c r="F491" s="696">
        <v>2020</v>
      </c>
      <c r="G491" s="686">
        <v>500000</v>
      </c>
      <c r="H491" s="673">
        <v>0</v>
      </c>
      <c r="I491" s="686">
        <v>500000</v>
      </c>
      <c r="J491" s="727">
        <v>100</v>
      </c>
      <c r="K491" s="700"/>
    </row>
    <row r="492" spans="1:11" s="658" customFormat="1" ht="30.75">
      <c r="A492" s="867"/>
      <c r="B492" s="867"/>
      <c r="C492" s="867"/>
      <c r="D492" s="868"/>
      <c r="E492" s="682" t="s">
        <v>1560</v>
      </c>
      <c r="F492" s="696">
        <v>2020</v>
      </c>
      <c r="G492" s="686">
        <v>100000</v>
      </c>
      <c r="H492" s="673">
        <v>0</v>
      </c>
      <c r="I492" s="686">
        <v>100000</v>
      </c>
      <c r="J492" s="727">
        <v>100</v>
      </c>
      <c r="K492" s="700"/>
    </row>
    <row r="493" spans="1:11" s="658" customFormat="1" ht="30.75">
      <c r="A493" s="867"/>
      <c r="B493" s="867"/>
      <c r="C493" s="867"/>
      <c r="D493" s="868"/>
      <c r="E493" s="682" t="s">
        <v>1561</v>
      </c>
      <c r="F493" s="696" t="s">
        <v>1229</v>
      </c>
      <c r="G493" s="686">
        <v>1588602</v>
      </c>
      <c r="H493" s="673">
        <v>98.1</v>
      </c>
      <c r="I493" s="686">
        <v>30272.94</v>
      </c>
      <c r="J493" s="727">
        <v>100</v>
      </c>
      <c r="K493" s="700"/>
    </row>
    <row r="494" spans="1:11" s="658" customFormat="1" ht="30.75">
      <c r="A494" s="867"/>
      <c r="B494" s="867"/>
      <c r="C494" s="867"/>
      <c r="D494" s="868"/>
      <c r="E494" s="682" t="s">
        <v>1562</v>
      </c>
      <c r="F494" s="696">
        <v>2020</v>
      </c>
      <c r="G494" s="686">
        <v>60000</v>
      </c>
      <c r="H494" s="673">
        <v>0</v>
      </c>
      <c r="I494" s="686">
        <v>60000</v>
      </c>
      <c r="J494" s="727">
        <v>100</v>
      </c>
      <c r="K494" s="700"/>
    </row>
    <row r="495" spans="1:11" s="658" customFormat="1" ht="46.5">
      <c r="A495" s="867"/>
      <c r="B495" s="867"/>
      <c r="C495" s="867"/>
      <c r="D495" s="868"/>
      <c r="E495" s="685" t="s">
        <v>1563</v>
      </c>
      <c r="F495" s="696">
        <v>2020</v>
      </c>
      <c r="G495" s="686">
        <v>1490000</v>
      </c>
      <c r="H495" s="673">
        <v>0</v>
      </c>
      <c r="I495" s="166">
        <v>1490000</v>
      </c>
      <c r="J495" s="727">
        <v>100</v>
      </c>
      <c r="K495" s="700"/>
    </row>
    <row r="496" spans="1:11" s="658" customFormat="1" ht="30.75">
      <c r="A496" s="867"/>
      <c r="B496" s="867"/>
      <c r="C496" s="867"/>
      <c r="D496" s="868"/>
      <c r="E496" s="698" t="s">
        <v>1564</v>
      </c>
      <c r="F496" s="696">
        <v>2020</v>
      </c>
      <c r="G496" s="686">
        <v>600000</v>
      </c>
      <c r="H496" s="673">
        <v>0</v>
      </c>
      <c r="I496" s="686">
        <v>600000</v>
      </c>
      <c r="J496" s="727">
        <v>100</v>
      </c>
      <c r="K496" s="700"/>
    </row>
    <row r="497" spans="1:11" s="658" customFormat="1" ht="30.75">
      <c r="A497" s="867"/>
      <c r="B497" s="867"/>
      <c r="C497" s="867"/>
      <c r="D497" s="868"/>
      <c r="E497" s="682" t="s">
        <v>1565</v>
      </c>
      <c r="F497" s="696" t="s">
        <v>1229</v>
      </c>
      <c r="G497" s="686">
        <v>1489997</v>
      </c>
      <c r="H497" s="673">
        <v>62.63213952779771</v>
      </c>
      <c r="I497" s="166">
        <f>535175.6+14242</f>
        <v>549417.6</v>
      </c>
      <c r="J497" s="727">
        <v>100</v>
      </c>
      <c r="K497" s="700"/>
    </row>
    <row r="498" spans="1:11" s="658" customFormat="1" ht="30.75">
      <c r="A498" s="867"/>
      <c r="B498" s="867"/>
      <c r="C498" s="867"/>
      <c r="D498" s="868"/>
      <c r="E498" s="685" t="s">
        <v>1566</v>
      </c>
      <c r="F498" s="696">
        <v>2020</v>
      </c>
      <c r="G498" s="686">
        <v>812887.2</v>
      </c>
      <c r="H498" s="673">
        <v>0</v>
      </c>
      <c r="I498" s="166">
        <f>425000+387887.2</f>
        <v>812887.2</v>
      </c>
      <c r="J498" s="727">
        <v>100</v>
      </c>
      <c r="K498" s="700"/>
    </row>
    <row r="499" spans="1:11" s="658" customFormat="1" ht="30.75">
      <c r="A499" s="867"/>
      <c r="B499" s="867"/>
      <c r="C499" s="867"/>
      <c r="D499" s="868"/>
      <c r="E499" s="685" t="s">
        <v>1567</v>
      </c>
      <c r="F499" s="696">
        <v>2020</v>
      </c>
      <c r="G499" s="686">
        <v>872194.8</v>
      </c>
      <c r="H499" s="673">
        <v>0</v>
      </c>
      <c r="I499" s="166">
        <f>425000+447194.8</f>
        <v>872194.8</v>
      </c>
      <c r="J499" s="727">
        <v>100</v>
      </c>
      <c r="K499" s="700"/>
    </row>
    <row r="500" spans="1:11" s="658" customFormat="1" ht="30.75" hidden="1">
      <c r="A500" s="867"/>
      <c r="B500" s="867"/>
      <c r="C500" s="867"/>
      <c r="D500" s="868"/>
      <c r="E500" s="685" t="s">
        <v>1568</v>
      </c>
      <c r="F500" s="696"/>
      <c r="G500" s="686"/>
      <c r="H500" s="673"/>
      <c r="I500" s="166"/>
      <c r="J500" s="727"/>
      <c r="K500" s="700"/>
    </row>
    <row r="501" spans="1:11" s="658" customFormat="1" ht="30.75">
      <c r="A501" s="867"/>
      <c r="B501" s="867"/>
      <c r="C501" s="867"/>
      <c r="D501" s="868"/>
      <c r="E501" s="698" t="s">
        <v>1569</v>
      </c>
      <c r="F501" s="696">
        <v>2020</v>
      </c>
      <c r="G501" s="686">
        <v>163736</v>
      </c>
      <c r="H501" s="673">
        <v>0</v>
      </c>
      <c r="I501" s="166">
        <v>163736</v>
      </c>
      <c r="J501" s="727">
        <v>100</v>
      </c>
      <c r="K501" s="700"/>
    </row>
    <row r="502" spans="1:11" s="658" customFormat="1" ht="30.75">
      <c r="A502" s="867"/>
      <c r="B502" s="867"/>
      <c r="C502" s="867"/>
      <c r="D502" s="868"/>
      <c r="E502" s="682" t="s">
        <v>1570</v>
      </c>
      <c r="F502" s="696">
        <v>2020</v>
      </c>
      <c r="G502" s="686">
        <v>262000</v>
      </c>
      <c r="H502" s="673">
        <v>0</v>
      </c>
      <c r="I502" s="686">
        <v>262000</v>
      </c>
      <c r="J502" s="727">
        <v>100</v>
      </c>
      <c r="K502" s="700"/>
    </row>
    <row r="503" spans="1:11" s="658" customFormat="1" ht="53.25" customHeight="1">
      <c r="A503" s="867"/>
      <c r="B503" s="867"/>
      <c r="C503" s="867"/>
      <c r="D503" s="868"/>
      <c r="E503" s="685" t="s">
        <v>1571</v>
      </c>
      <c r="F503" s="696" t="s">
        <v>1266</v>
      </c>
      <c r="G503" s="686">
        <v>1250000</v>
      </c>
      <c r="H503" s="673">
        <v>0</v>
      </c>
      <c r="I503" s="166">
        <v>120000</v>
      </c>
      <c r="J503" s="727">
        <v>9.6</v>
      </c>
      <c r="K503" s="700"/>
    </row>
    <row r="504" spans="1:11" s="658" customFormat="1" ht="30.75">
      <c r="A504" s="867"/>
      <c r="B504" s="867"/>
      <c r="C504" s="867"/>
      <c r="D504" s="868"/>
      <c r="E504" s="682" t="s">
        <v>1572</v>
      </c>
      <c r="F504" s="696" t="s">
        <v>1266</v>
      </c>
      <c r="G504" s="686">
        <v>1324489</v>
      </c>
      <c r="H504" s="673">
        <v>81.3</v>
      </c>
      <c r="I504" s="713">
        <f>248321.41-187000+187000</f>
        <v>248321.41</v>
      </c>
      <c r="J504" s="727">
        <v>85.9</v>
      </c>
      <c r="K504" s="700"/>
    </row>
    <row r="505" spans="1:11" s="658" customFormat="1" ht="30.75">
      <c r="A505" s="867"/>
      <c r="B505" s="867"/>
      <c r="C505" s="867"/>
      <c r="D505" s="868"/>
      <c r="E505" s="682" t="s">
        <v>1573</v>
      </c>
      <c r="F505" s="696">
        <v>2020</v>
      </c>
      <c r="G505" s="686">
        <v>1700000</v>
      </c>
      <c r="H505" s="673">
        <v>0</v>
      </c>
      <c r="I505" s="686">
        <v>1700000</v>
      </c>
      <c r="J505" s="727">
        <v>100</v>
      </c>
      <c r="K505" s="700"/>
    </row>
    <row r="506" spans="1:11" s="658" customFormat="1" ht="30.75">
      <c r="A506" s="867"/>
      <c r="B506" s="867"/>
      <c r="C506" s="867"/>
      <c r="D506" s="868"/>
      <c r="E506" s="685" t="s">
        <v>1574</v>
      </c>
      <c r="F506" s="696" t="s">
        <v>1266</v>
      </c>
      <c r="G506" s="686">
        <v>1500000</v>
      </c>
      <c r="H506" s="673">
        <v>0</v>
      </c>
      <c r="I506" s="701">
        <f>1500000-1400000</f>
        <v>100000</v>
      </c>
      <c r="J506" s="727">
        <v>6.7</v>
      </c>
      <c r="K506" s="700"/>
    </row>
    <row r="507" spans="1:11" s="658" customFormat="1" ht="46.5" customHeight="1">
      <c r="A507" s="867"/>
      <c r="B507" s="867"/>
      <c r="C507" s="867"/>
      <c r="D507" s="868"/>
      <c r="E507" s="685" t="s">
        <v>1575</v>
      </c>
      <c r="F507" s="696">
        <v>2020</v>
      </c>
      <c r="G507" s="686">
        <v>900000</v>
      </c>
      <c r="H507" s="673">
        <v>0</v>
      </c>
      <c r="I507" s="166">
        <v>900000</v>
      </c>
      <c r="J507" s="727">
        <v>100</v>
      </c>
      <c r="K507" s="700"/>
    </row>
    <row r="508" spans="1:11" s="658" customFormat="1" ht="30.75">
      <c r="A508" s="867"/>
      <c r="B508" s="867"/>
      <c r="C508" s="867"/>
      <c r="D508" s="868"/>
      <c r="E508" s="685" t="s">
        <v>1576</v>
      </c>
      <c r="F508" s="696">
        <v>2020</v>
      </c>
      <c r="G508" s="686">
        <v>1490000</v>
      </c>
      <c r="H508" s="673">
        <v>0</v>
      </c>
      <c r="I508" s="166">
        <v>1490000</v>
      </c>
      <c r="J508" s="727">
        <v>100</v>
      </c>
      <c r="K508" s="700"/>
    </row>
    <row r="509" spans="1:11" s="658" customFormat="1" ht="30.75">
      <c r="A509" s="867"/>
      <c r="B509" s="867"/>
      <c r="C509" s="867"/>
      <c r="D509" s="868"/>
      <c r="E509" s="682" t="s">
        <v>1577</v>
      </c>
      <c r="F509" s="696" t="s">
        <v>1229</v>
      </c>
      <c r="G509" s="686">
        <v>953040</v>
      </c>
      <c r="H509" s="673">
        <f>(I509/G509*100-100)*-1</f>
        <v>48.32710064635272</v>
      </c>
      <c r="I509" s="686">
        <f>365279-53561+180745.4</f>
        <v>492463.4</v>
      </c>
      <c r="J509" s="727">
        <v>100</v>
      </c>
      <c r="K509" s="700"/>
    </row>
    <row r="510" spans="1:11" s="658" customFormat="1" ht="30.75">
      <c r="A510" s="867"/>
      <c r="B510" s="867"/>
      <c r="C510" s="867"/>
      <c r="D510" s="868"/>
      <c r="E510" s="685" t="s">
        <v>1578</v>
      </c>
      <c r="F510" s="696">
        <v>2020</v>
      </c>
      <c r="G510" s="686">
        <v>800000</v>
      </c>
      <c r="H510" s="673">
        <v>0</v>
      </c>
      <c r="I510" s="166">
        <v>800000</v>
      </c>
      <c r="J510" s="727">
        <v>100</v>
      </c>
      <c r="K510" s="700"/>
    </row>
    <row r="511" spans="1:11" s="658" customFormat="1" ht="30.75">
      <c r="A511" s="867"/>
      <c r="B511" s="867"/>
      <c r="C511" s="867"/>
      <c r="D511" s="868"/>
      <c r="E511" s="682" t="s">
        <v>1579</v>
      </c>
      <c r="F511" s="696">
        <v>2020</v>
      </c>
      <c r="G511" s="686">
        <v>760000</v>
      </c>
      <c r="H511" s="673">
        <v>0</v>
      </c>
      <c r="I511" s="686">
        <v>760000</v>
      </c>
      <c r="J511" s="727">
        <v>100</v>
      </c>
      <c r="K511" s="700"/>
    </row>
    <row r="512" spans="1:11" s="658" customFormat="1" ht="30.75">
      <c r="A512" s="867"/>
      <c r="B512" s="867"/>
      <c r="C512" s="867"/>
      <c r="D512" s="868"/>
      <c r="E512" s="682" t="s">
        <v>1580</v>
      </c>
      <c r="F512" s="696">
        <v>2020</v>
      </c>
      <c r="G512" s="686">
        <v>450000</v>
      </c>
      <c r="H512" s="673">
        <v>0</v>
      </c>
      <c r="I512" s="686">
        <v>450000</v>
      </c>
      <c r="J512" s="727">
        <v>100</v>
      </c>
      <c r="K512" s="700"/>
    </row>
    <row r="513" spans="1:11" s="658" customFormat="1" ht="30.75">
      <c r="A513" s="867"/>
      <c r="B513" s="867"/>
      <c r="C513" s="867"/>
      <c r="D513" s="868"/>
      <c r="E513" s="682" t="s">
        <v>1581</v>
      </c>
      <c r="F513" s="696" t="s">
        <v>1266</v>
      </c>
      <c r="G513" s="686">
        <v>537000</v>
      </c>
      <c r="H513" s="673">
        <v>0</v>
      </c>
      <c r="I513" s="740">
        <v>10000</v>
      </c>
      <c r="J513" s="727">
        <v>1.9</v>
      </c>
      <c r="K513" s="700"/>
    </row>
    <row r="514" spans="1:11" s="658" customFormat="1" ht="30.75">
      <c r="A514" s="867"/>
      <c r="B514" s="867"/>
      <c r="C514" s="867"/>
      <c r="D514" s="868"/>
      <c r="E514" s="682" t="s">
        <v>1582</v>
      </c>
      <c r="F514" s="696">
        <v>2020</v>
      </c>
      <c r="G514" s="166">
        <v>1384000</v>
      </c>
      <c r="H514" s="673">
        <v>0</v>
      </c>
      <c r="I514" s="166">
        <v>1384000</v>
      </c>
      <c r="J514" s="727">
        <v>100</v>
      </c>
      <c r="K514" s="700"/>
    </row>
    <row r="515" spans="1:11" s="658" customFormat="1" ht="30.75">
      <c r="A515" s="867"/>
      <c r="B515" s="867"/>
      <c r="C515" s="867"/>
      <c r="D515" s="868"/>
      <c r="E515" s="682" t="s">
        <v>1583</v>
      </c>
      <c r="F515" s="696">
        <v>2020</v>
      </c>
      <c r="G515" s="686">
        <v>37043</v>
      </c>
      <c r="H515" s="673">
        <v>0</v>
      </c>
      <c r="I515" s="686">
        <v>37043</v>
      </c>
      <c r="J515" s="727">
        <v>100</v>
      </c>
      <c r="K515" s="700"/>
    </row>
    <row r="516" spans="1:11" s="658" customFormat="1" ht="30.75">
      <c r="A516" s="867"/>
      <c r="B516" s="867"/>
      <c r="C516" s="867"/>
      <c r="D516" s="868"/>
      <c r="E516" s="682" t="s">
        <v>1584</v>
      </c>
      <c r="F516" s="696" t="s">
        <v>1266</v>
      </c>
      <c r="G516" s="686">
        <v>1480000</v>
      </c>
      <c r="H516" s="673">
        <v>0</v>
      </c>
      <c r="I516" s="740">
        <v>120000</v>
      </c>
      <c r="J516" s="727">
        <v>8.1</v>
      </c>
      <c r="K516" s="700"/>
    </row>
    <row r="517" spans="1:11" s="658" customFormat="1" ht="30.75">
      <c r="A517" s="867"/>
      <c r="B517" s="867"/>
      <c r="C517" s="867"/>
      <c r="D517" s="868"/>
      <c r="E517" s="698" t="s">
        <v>1585</v>
      </c>
      <c r="F517" s="696">
        <v>2020</v>
      </c>
      <c r="G517" s="686">
        <v>1490000</v>
      </c>
      <c r="H517" s="673">
        <v>0</v>
      </c>
      <c r="I517" s="686">
        <v>1490000</v>
      </c>
      <c r="J517" s="727">
        <v>100</v>
      </c>
      <c r="K517" s="700"/>
    </row>
    <row r="518" spans="1:11" s="658" customFormat="1" ht="30.75">
      <c r="A518" s="867"/>
      <c r="B518" s="867"/>
      <c r="C518" s="867"/>
      <c r="D518" s="868"/>
      <c r="E518" s="685" t="s">
        <v>1586</v>
      </c>
      <c r="F518" s="696" t="s">
        <v>1266</v>
      </c>
      <c r="G518" s="686">
        <v>2400000</v>
      </c>
      <c r="H518" s="673">
        <v>0</v>
      </c>
      <c r="I518" s="166">
        <v>10000</v>
      </c>
      <c r="J518" s="727">
        <v>0.4</v>
      </c>
      <c r="K518" s="700"/>
    </row>
    <row r="519" spans="1:11" s="658" customFormat="1" ht="30.75">
      <c r="A519" s="867"/>
      <c r="B519" s="867"/>
      <c r="C519" s="867"/>
      <c r="D519" s="868"/>
      <c r="E519" s="682" t="s">
        <v>1587</v>
      </c>
      <c r="F519" s="696" t="s">
        <v>1229</v>
      </c>
      <c r="G519" s="686">
        <v>1030599</v>
      </c>
      <c r="H519" s="673">
        <f>(I519/G519*100-100)*-1</f>
        <v>45.30382816206886</v>
      </c>
      <c r="I519" s="686">
        <f>363531+1878+198289.2</f>
        <v>563698.2</v>
      </c>
      <c r="J519" s="727">
        <v>100</v>
      </c>
      <c r="K519" s="700"/>
    </row>
    <row r="520" spans="1:11" s="658" customFormat="1" ht="30.75">
      <c r="A520" s="867"/>
      <c r="B520" s="867"/>
      <c r="C520" s="867"/>
      <c r="D520" s="868"/>
      <c r="E520" s="682" t="s">
        <v>1588</v>
      </c>
      <c r="F520" s="696">
        <v>2020</v>
      </c>
      <c r="G520" s="686">
        <v>990439.2</v>
      </c>
      <c r="H520" s="673">
        <v>0</v>
      </c>
      <c r="I520" s="686">
        <f>283000+707439.2</f>
        <v>990439.2</v>
      </c>
      <c r="J520" s="727">
        <v>100</v>
      </c>
      <c r="K520" s="700"/>
    </row>
    <row r="521" spans="1:11" s="658" customFormat="1" ht="15">
      <c r="A521" s="867"/>
      <c r="B521" s="867"/>
      <c r="C521" s="867"/>
      <c r="D521" s="868"/>
      <c r="E521" s="682" t="s">
        <v>1589</v>
      </c>
      <c r="F521" s="696" t="s">
        <v>1266</v>
      </c>
      <c r="G521" s="686">
        <v>700000</v>
      </c>
      <c r="H521" s="673">
        <v>0</v>
      </c>
      <c r="I521" s="713">
        <f>700000-350000</f>
        <v>350000</v>
      </c>
      <c r="J521" s="727">
        <v>50</v>
      </c>
      <c r="K521" s="700"/>
    </row>
    <row r="522" spans="1:11" s="658" customFormat="1" ht="15">
      <c r="A522" s="867"/>
      <c r="B522" s="867"/>
      <c r="C522" s="867"/>
      <c r="D522" s="868"/>
      <c r="E522" s="682" t="s">
        <v>1590</v>
      </c>
      <c r="F522" s="696">
        <v>2020</v>
      </c>
      <c r="G522" s="686">
        <v>971238.81</v>
      </c>
      <c r="H522" s="673">
        <v>0</v>
      </c>
      <c r="I522" s="713">
        <f>918000+53238.81</f>
        <v>971238.81</v>
      </c>
      <c r="J522" s="727">
        <v>100</v>
      </c>
      <c r="K522" s="700"/>
    </row>
    <row r="523" spans="1:11" s="658" customFormat="1" ht="15">
      <c r="A523" s="867"/>
      <c r="B523" s="867"/>
      <c r="C523" s="867"/>
      <c r="D523" s="868"/>
      <c r="E523" s="738" t="s">
        <v>1591</v>
      </c>
      <c r="F523" s="696" t="s">
        <v>1229</v>
      </c>
      <c r="G523" s="686">
        <v>1402829</v>
      </c>
      <c r="H523" s="673">
        <v>53.77547798056641</v>
      </c>
      <c r="I523" s="713">
        <v>700000</v>
      </c>
      <c r="J523" s="727">
        <v>100</v>
      </c>
      <c r="K523" s="700"/>
    </row>
    <row r="524" spans="1:11" s="658" customFormat="1" ht="46.5">
      <c r="A524" s="867"/>
      <c r="B524" s="867"/>
      <c r="C524" s="867"/>
      <c r="D524" s="868"/>
      <c r="E524" s="682" t="s">
        <v>1592</v>
      </c>
      <c r="F524" s="696" t="s">
        <v>1229</v>
      </c>
      <c r="G524" s="686">
        <v>4275248</v>
      </c>
      <c r="H524" s="673">
        <f>(I524/G524*100-100)*-1</f>
        <v>19.484811173527234</v>
      </c>
      <c r="I524" s="713">
        <v>3442224</v>
      </c>
      <c r="J524" s="727">
        <v>100</v>
      </c>
      <c r="K524" s="700"/>
    </row>
    <row r="525" spans="1:11" s="658" customFormat="1" ht="15">
      <c r="A525" s="867"/>
      <c r="B525" s="867"/>
      <c r="C525" s="867"/>
      <c r="D525" s="868"/>
      <c r="E525" s="741" t="s">
        <v>1593</v>
      </c>
      <c r="F525" s="696" t="s">
        <v>1266</v>
      </c>
      <c r="G525" s="686">
        <v>1000000</v>
      </c>
      <c r="H525" s="673">
        <v>0</v>
      </c>
      <c r="I525" s="713">
        <f>1000000-500000</f>
        <v>500000</v>
      </c>
      <c r="J525" s="727">
        <v>50</v>
      </c>
      <c r="K525" s="700"/>
    </row>
    <row r="526" spans="1:11" s="658" customFormat="1" ht="46.5">
      <c r="A526" s="867"/>
      <c r="B526" s="867"/>
      <c r="C526" s="867"/>
      <c r="D526" s="868"/>
      <c r="E526" s="682" t="s">
        <v>1594</v>
      </c>
      <c r="F526" s="696">
        <v>2020</v>
      </c>
      <c r="G526" s="686">
        <v>134745</v>
      </c>
      <c r="H526" s="673">
        <v>0</v>
      </c>
      <c r="I526" s="713">
        <v>134745</v>
      </c>
      <c r="J526" s="727">
        <v>100</v>
      </c>
      <c r="K526" s="700"/>
    </row>
    <row r="527" spans="1:11" s="658" customFormat="1" ht="30.75">
      <c r="A527" s="867"/>
      <c r="B527" s="867"/>
      <c r="C527" s="867"/>
      <c r="D527" s="868"/>
      <c r="E527" s="738" t="s">
        <v>1595</v>
      </c>
      <c r="F527" s="696" t="s">
        <v>1266</v>
      </c>
      <c r="G527" s="686">
        <v>1300000</v>
      </c>
      <c r="H527" s="673">
        <v>0</v>
      </c>
      <c r="I527" s="713">
        <f>1300000-600000</f>
        <v>700000</v>
      </c>
      <c r="J527" s="727">
        <v>53.8</v>
      </c>
      <c r="K527" s="700"/>
    </row>
    <row r="528" spans="1:11" s="658" customFormat="1" ht="30.75">
      <c r="A528" s="867"/>
      <c r="B528" s="867"/>
      <c r="C528" s="867"/>
      <c r="D528" s="868"/>
      <c r="E528" s="682" t="s">
        <v>1596</v>
      </c>
      <c r="F528" s="696">
        <v>2020</v>
      </c>
      <c r="G528" s="686">
        <v>356592.92</v>
      </c>
      <c r="H528" s="673">
        <v>0</v>
      </c>
      <c r="I528" s="713">
        <v>356592.92</v>
      </c>
      <c r="J528" s="727">
        <v>100</v>
      </c>
      <c r="K528" s="700"/>
    </row>
    <row r="529" spans="1:11" s="658" customFormat="1" ht="15">
      <c r="A529" s="867"/>
      <c r="B529" s="867"/>
      <c r="C529" s="867"/>
      <c r="D529" s="868"/>
      <c r="E529" s="682" t="s">
        <v>1597</v>
      </c>
      <c r="F529" s="696" t="s">
        <v>1598</v>
      </c>
      <c r="G529" s="686">
        <v>53587480</v>
      </c>
      <c r="H529" s="673">
        <f>(4756381+1647635)/G529*100</f>
        <v>11.950582486804754</v>
      </c>
      <c r="I529" s="713">
        <v>588015.05</v>
      </c>
      <c r="J529" s="727">
        <v>13.1</v>
      </c>
      <c r="K529" s="700"/>
    </row>
    <row r="530" spans="1:11" s="658" customFormat="1" ht="30.75">
      <c r="A530" s="867"/>
      <c r="B530" s="867"/>
      <c r="C530" s="867"/>
      <c r="D530" s="868"/>
      <c r="E530" s="682" t="s">
        <v>1599</v>
      </c>
      <c r="F530" s="696" t="s">
        <v>1288</v>
      </c>
      <c r="G530" s="686">
        <v>15305439</v>
      </c>
      <c r="H530" s="673">
        <v>32.668125363800414</v>
      </c>
      <c r="I530" s="713">
        <v>4898912.05</v>
      </c>
      <c r="J530" s="727">
        <v>64</v>
      </c>
      <c r="K530" s="700"/>
    </row>
    <row r="531" spans="1:11" s="658" customFormat="1" ht="30.75">
      <c r="A531" s="867"/>
      <c r="B531" s="867"/>
      <c r="C531" s="867"/>
      <c r="D531" s="868"/>
      <c r="E531" s="685" t="s">
        <v>1600</v>
      </c>
      <c r="F531" s="696" t="s">
        <v>1266</v>
      </c>
      <c r="G531" s="686">
        <v>1500000</v>
      </c>
      <c r="H531" s="673">
        <v>0</v>
      </c>
      <c r="I531" s="701">
        <f>750000-670000</f>
        <v>80000</v>
      </c>
      <c r="J531" s="727">
        <v>5.3</v>
      </c>
      <c r="K531" s="700"/>
    </row>
    <row r="532" spans="1:11" s="658" customFormat="1" ht="62.25">
      <c r="A532" s="867"/>
      <c r="B532" s="867"/>
      <c r="C532" s="867"/>
      <c r="D532" s="868"/>
      <c r="E532" s="682" t="s">
        <v>1601</v>
      </c>
      <c r="F532" s="696" t="s">
        <v>1266</v>
      </c>
      <c r="G532" s="686">
        <v>3655000</v>
      </c>
      <c r="H532" s="673">
        <v>0</v>
      </c>
      <c r="I532" s="713">
        <f>3655000-2155000</f>
        <v>1500000</v>
      </c>
      <c r="J532" s="727">
        <v>41</v>
      </c>
      <c r="K532" s="700"/>
    </row>
    <row r="533" spans="1:11" s="658" customFormat="1" ht="30.75">
      <c r="A533" s="867"/>
      <c r="B533" s="867"/>
      <c r="C533" s="867"/>
      <c r="D533" s="868"/>
      <c r="E533" s="685" t="s">
        <v>1602</v>
      </c>
      <c r="F533" s="696" t="s">
        <v>1229</v>
      </c>
      <c r="G533" s="686">
        <v>787840</v>
      </c>
      <c r="H533" s="673">
        <v>54.686230706742485</v>
      </c>
      <c r="I533" s="701">
        <f>272000+26246.8</f>
        <v>298246.8</v>
      </c>
      <c r="J533" s="727">
        <v>100</v>
      </c>
      <c r="K533" s="700"/>
    </row>
    <row r="534" spans="1:11" s="658" customFormat="1" ht="30.75">
      <c r="A534" s="867"/>
      <c r="B534" s="867"/>
      <c r="C534" s="867"/>
      <c r="D534" s="868"/>
      <c r="E534" s="685" t="s">
        <v>1603</v>
      </c>
      <c r="F534" s="696" t="s">
        <v>1266</v>
      </c>
      <c r="G534" s="686">
        <v>577962.8</v>
      </c>
      <c r="H534" s="673">
        <v>0</v>
      </c>
      <c r="I534" s="701">
        <f>477000+100962.8-177000</f>
        <v>400962.80000000005</v>
      </c>
      <c r="J534" s="727">
        <v>69.3</v>
      </c>
      <c r="K534" s="700"/>
    </row>
    <row r="535" spans="1:11" s="658" customFormat="1" ht="30.75">
      <c r="A535" s="867"/>
      <c r="B535" s="867"/>
      <c r="C535" s="867"/>
      <c r="D535" s="868"/>
      <c r="E535" s="682" t="s">
        <v>1604</v>
      </c>
      <c r="F535" s="696">
        <v>2020</v>
      </c>
      <c r="G535" s="686">
        <v>640000</v>
      </c>
      <c r="H535" s="673">
        <v>0</v>
      </c>
      <c r="I535" s="686">
        <v>640000</v>
      </c>
      <c r="J535" s="727">
        <v>100</v>
      </c>
      <c r="K535" s="700"/>
    </row>
    <row r="536" spans="1:11" s="658" customFormat="1" ht="15">
      <c r="A536" s="867"/>
      <c r="B536" s="867"/>
      <c r="C536" s="867"/>
      <c r="D536" s="868"/>
      <c r="E536" s="682" t="s">
        <v>1605</v>
      </c>
      <c r="F536" s="696" t="s">
        <v>1288</v>
      </c>
      <c r="G536" s="686">
        <v>1754667</v>
      </c>
      <c r="H536" s="673">
        <f>(I536/G536*100-100)*-1</f>
        <v>96.80658324343024</v>
      </c>
      <c r="I536" s="686">
        <v>56033.83</v>
      </c>
      <c r="J536" s="727">
        <v>100</v>
      </c>
      <c r="K536" s="700"/>
    </row>
    <row r="537" spans="1:11" s="658" customFormat="1" ht="30.75">
      <c r="A537" s="867"/>
      <c r="B537" s="867"/>
      <c r="C537" s="867"/>
      <c r="D537" s="868"/>
      <c r="E537" s="682" t="s">
        <v>1606</v>
      </c>
      <c r="F537" s="696" t="s">
        <v>1288</v>
      </c>
      <c r="G537" s="686">
        <v>3119378</v>
      </c>
      <c r="H537" s="673">
        <v>89</v>
      </c>
      <c r="I537" s="686">
        <v>341685.56</v>
      </c>
      <c r="J537" s="727">
        <v>100</v>
      </c>
      <c r="K537" s="700"/>
    </row>
    <row r="538" spans="1:11" s="658" customFormat="1" ht="30.75">
      <c r="A538" s="867"/>
      <c r="B538" s="867"/>
      <c r="C538" s="867"/>
      <c r="D538" s="868"/>
      <c r="E538" s="685" t="s">
        <v>1607</v>
      </c>
      <c r="F538" s="696" t="s">
        <v>1229</v>
      </c>
      <c r="G538" s="686">
        <v>5100000</v>
      </c>
      <c r="H538" s="673">
        <v>0.5</v>
      </c>
      <c r="I538" s="166">
        <f>1500000+3600000</f>
        <v>5100000</v>
      </c>
      <c r="J538" s="727">
        <v>100</v>
      </c>
      <c r="K538" s="700"/>
    </row>
    <row r="539" spans="1:10" s="658" customFormat="1" ht="15" hidden="1">
      <c r="A539" s="867"/>
      <c r="B539" s="867"/>
      <c r="C539" s="867"/>
      <c r="D539" s="868"/>
      <c r="E539" s="738" t="s">
        <v>1608</v>
      </c>
      <c r="F539" s="696">
        <v>2020</v>
      </c>
      <c r="G539" s="686">
        <f>204105+10150000</f>
        <v>10354105</v>
      </c>
      <c r="H539" s="673">
        <v>0</v>
      </c>
      <c r="I539" s="686"/>
      <c r="J539" s="727">
        <v>100</v>
      </c>
    </row>
    <row r="540" spans="1:11" s="658" customFormat="1" ht="15" customHeight="1">
      <c r="A540" s="880" t="s">
        <v>498</v>
      </c>
      <c r="B540" s="880" t="s">
        <v>499</v>
      </c>
      <c r="C540" s="880" t="s">
        <v>411</v>
      </c>
      <c r="D540" s="882" t="s">
        <v>500</v>
      </c>
      <c r="E540" s="655"/>
      <c r="F540" s="166"/>
      <c r="G540" s="726"/>
      <c r="H540" s="673"/>
      <c r="I540" s="674">
        <f>I545+I547+I551+I553+I588+I597+I653</f>
        <v>68804240.19</v>
      </c>
      <c r="J540" s="727"/>
      <c r="K540" s="700"/>
    </row>
    <row r="541" spans="1:11" s="658" customFormat="1" ht="30.75" customHeight="1" hidden="1">
      <c r="A541" s="881"/>
      <c r="B541" s="881"/>
      <c r="C541" s="881"/>
      <c r="D541" s="883"/>
      <c r="E541" s="742" t="s">
        <v>1609</v>
      </c>
      <c r="F541" s="166"/>
      <c r="G541" s="726"/>
      <c r="H541" s="673"/>
      <c r="I541" s="674">
        <f>SUM(I542:I542)</f>
        <v>0</v>
      </c>
      <c r="J541" s="727"/>
      <c r="K541" s="700"/>
    </row>
    <row r="542" spans="1:11" s="658" customFormat="1" ht="15" customHeight="1" hidden="1">
      <c r="A542" s="881"/>
      <c r="B542" s="881"/>
      <c r="C542" s="881"/>
      <c r="D542" s="883"/>
      <c r="E542" s="682"/>
      <c r="F542" s="655"/>
      <c r="G542" s="655"/>
      <c r="H542" s="673"/>
      <c r="I542" s="686"/>
      <c r="J542" s="727"/>
      <c r="K542" s="700"/>
    </row>
    <row r="543" spans="1:11" s="658" customFormat="1" ht="30.75" customHeight="1" hidden="1">
      <c r="A543" s="881"/>
      <c r="B543" s="881"/>
      <c r="C543" s="881"/>
      <c r="D543" s="883"/>
      <c r="E543" s="742" t="s">
        <v>1609</v>
      </c>
      <c r="F543" s="166"/>
      <c r="G543" s="726"/>
      <c r="H543" s="673"/>
      <c r="I543" s="674">
        <f>SUM(I544:I544)</f>
        <v>0</v>
      </c>
      <c r="J543" s="727"/>
      <c r="K543" s="700"/>
    </row>
    <row r="544" spans="1:11" s="658" customFormat="1" ht="15" customHeight="1" hidden="1">
      <c r="A544" s="881"/>
      <c r="B544" s="881"/>
      <c r="C544" s="881"/>
      <c r="D544" s="883"/>
      <c r="E544" s="682"/>
      <c r="F544" s="655"/>
      <c r="G544" s="655"/>
      <c r="H544" s="673"/>
      <c r="I544" s="686"/>
      <c r="J544" s="727"/>
      <c r="K544" s="700"/>
    </row>
    <row r="545" spans="1:11" s="658" customFormat="1" ht="30.75" hidden="1">
      <c r="A545" s="881"/>
      <c r="B545" s="881"/>
      <c r="C545" s="881"/>
      <c r="D545" s="883"/>
      <c r="E545" s="699" t="s">
        <v>1610</v>
      </c>
      <c r="F545" s="166"/>
      <c r="G545" s="726"/>
      <c r="H545" s="673"/>
      <c r="I545" s="674">
        <f>SUM(I546:I546)</f>
        <v>0</v>
      </c>
      <c r="J545" s="727"/>
      <c r="K545" s="700"/>
    </row>
    <row r="546" spans="1:11" s="658" customFormat="1" ht="15" hidden="1">
      <c r="A546" s="881"/>
      <c r="B546" s="881"/>
      <c r="C546" s="881"/>
      <c r="D546" s="883"/>
      <c r="E546" s="682" t="s">
        <v>1611</v>
      </c>
      <c r="F546" s="696"/>
      <c r="G546" s="686"/>
      <c r="H546" s="673"/>
      <c r="I546" s="686"/>
      <c r="J546" s="727"/>
      <c r="K546" s="700"/>
    </row>
    <row r="547" spans="1:11" s="658" customFormat="1" ht="15">
      <c r="A547" s="881"/>
      <c r="B547" s="881"/>
      <c r="C547" s="881"/>
      <c r="D547" s="883"/>
      <c r="E547" s="742" t="s">
        <v>1612</v>
      </c>
      <c r="F547" s="696"/>
      <c r="G547" s="686"/>
      <c r="H547" s="673"/>
      <c r="I547" s="674">
        <f>SUM(I548:I550)</f>
        <v>200000</v>
      </c>
      <c r="J547" s="727"/>
      <c r="K547" s="700"/>
    </row>
    <row r="548" spans="1:11" s="658" customFormat="1" ht="15" hidden="1">
      <c r="A548" s="881"/>
      <c r="B548" s="881"/>
      <c r="C548" s="881"/>
      <c r="D548" s="883"/>
      <c r="E548" s="682" t="s">
        <v>1613</v>
      </c>
      <c r="F548" s="696">
        <v>2020</v>
      </c>
      <c r="G548" s="686">
        <v>2000000</v>
      </c>
      <c r="H548" s="673">
        <v>0</v>
      </c>
      <c r="I548" s="686">
        <f>2000000-2000000</f>
        <v>0</v>
      </c>
      <c r="J548" s="727">
        <v>100</v>
      </c>
      <c r="K548" s="700"/>
    </row>
    <row r="549" spans="1:11" ht="30.75">
      <c r="A549" s="881"/>
      <c r="B549" s="881"/>
      <c r="C549" s="881"/>
      <c r="D549" s="883"/>
      <c r="E549" s="681" t="s">
        <v>1614</v>
      </c>
      <c r="F549" s="737"/>
      <c r="G549" s="662"/>
      <c r="H549" s="678"/>
      <c r="I549" s="662">
        <v>200000</v>
      </c>
      <c r="J549" s="734"/>
      <c r="K549" s="700"/>
    </row>
    <row r="550" spans="1:11" s="658" customFormat="1" ht="30.75" hidden="1">
      <c r="A550" s="881"/>
      <c r="B550" s="881"/>
      <c r="C550" s="881"/>
      <c r="D550" s="883"/>
      <c r="E550" s="682" t="s">
        <v>1615</v>
      </c>
      <c r="F550" s="696">
        <v>2020</v>
      </c>
      <c r="G550" s="686">
        <v>1000000</v>
      </c>
      <c r="H550" s="673">
        <v>0</v>
      </c>
      <c r="I550" s="686">
        <f>1000000-1000000</f>
        <v>0</v>
      </c>
      <c r="J550" s="727">
        <v>100</v>
      </c>
      <c r="K550" s="700"/>
    </row>
    <row r="551" spans="1:11" s="658" customFormat="1" ht="30.75">
      <c r="A551" s="881"/>
      <c r="B551" s="881"/>
      <c r="C551" s="881"/>
      <c r="D551" s="883"/>
      <c r="E551" s="742" t="s">
        <v>1616</v>
      </c>
      <c r="F551" s="166"/>
      <c r="G551" s="726"/>
      <c r="H551" s="673"/>
      <c r="I551" s="674">
        <f>I552</f>
        <v>3741000</v>
      </c>
      <c r="J551" s="727"/>
      <c r="K551" s="700"/>
    </row>
    <row r="552" spans="1:11" s="658" customFormat="1" ht="15">
      <c r="A552" s="881"/>
      <c r="B552" s="881"/>
      <c r="C552" s="881"/>
      <c r="D552" s="883"/>
      <c r="E552" s="682" t="s">
        <v>1611</v>
      </c>
      <c r="F552" s="166"/>
      <c r="G552" s="726"/>
      <c r="H552" s="673"/>
      <c r="I552" s="166">
        <f>2000000+1741000</f>
        <v>3741000</v>
      </c>
      <c r="J552" s="727"/>
      <c r="K552" s="700"/>
    </row>
    <row r="553" spans="1:11" s="658" customFormat="1" ht="15">
      <c r="A553" s="881"/>
      <c r="B553" s="881"/>
      <c r="C553" s="881"/>
      <c r="D553" s="883"/>
      <c r="E553" s="742" t="s">
        <v>1617</v>
      </c>
      <c r="F553" s="166"/>
      <c r="G553" s="726"/>
      <c r="H553" s="673"/>
      <c r="I553" s="674">
        <f>SUM(I554:I587)</f>
        <v>17122123.64</v>
      </c>
      <c r="J553" s="727"/>
      <c r="K553" s="700"/>
    </row>
    <row r="554" spans="1:11" s="658" customFormat="1" ht="15">
      <c r="A554" s="881"/>
      <c r="B554" s="881"/>
      <c r="C554" s="881"/>
      <c r="D554" s="883"/>
      <c r="E554" s="685" t="s">
        <v>1618</v>
      </c>
      <c r="F554" s="696">
        <v>2020</v>
      </c>
      <c r="G554" s="166">
        <v>360000</v>
      </c>
      <c r="H554" s="673">
        <v>0</v>
      </c>
      <c r="I554" s="166">
        <v>360000</v>
      </c>
      <c r="J554" s="727">
        <v>100</v>
      </c>
      <c r="K554" s="700"/>
    </row>
    <row r="555" spans="1:11" s="658" customFormat="1" ht="15">
      <c r="A555" s="881"/>
      <c r="B555" s="881"/>
      <c r="C555" s="881"/>
      <c r="D555" s="883"/>
      <c r="E555" s="685" t="s">
        <v>1619</v>
      </c>
      <c r="F555" s="696">
        <v>2020</v>
      </c>
      <c r="G555" s="166">
        <v>150000</v>
      </c>
      <c r="H555" s="673">
        <v>0</v>
      </c>
      <c r="I555" s="166">
        <v>150000</v>
      </c>
      <c r="J555" s="727">
        <v>100</v>
      </c>
      <c r="K555" s="700"/>
    </row>
    <row r="556" spans="1:11" s="658" customFormat="1" ht="30.75">
      <c r="A556" s="881"/>
      <c r="B556" s="881"/>
      <c r="C556" s="881"/>
      <c r="D556" s="883"/>
      <c r="E556" s="685" t="s">
        <v>1620</v>
      </c>
      <c r="F556" s="696">
        <v>2020</v>
      </c>
      <c r="G556" s="166">
        <v>320000</v>
      </c>
      <c r="H556" s="673">
        <v>0</v>
      </c>
      <c r="I556" s="166">
        <v>320000</v>
      </c>
      <c r="J556" s="727">
        <v>100</v>
      </c>
      <c r="K556" s="700"/>
    </row>
    <row r="557" spans="1:11" s="658" customFormat="1" ht="46.5">
      <c r="A557" s="881"/>
      <c r="B557" s="881"/>
      <c r="C557" s="881"/>
      <c r="D557" s="883"/>
      <c r="E557" s="685" t="s">
        <v>1621</v>
      </c>
      <c r="F557" s="696">
        <v>2020</v>
      </c>
      <c r="G557" s="166">
        <v>1430000</v>
      </c>
      <c r="H557" s="673">
        <v>0</v>
      </c>
      <c r="I557" s="166">
        <v>1430000</v>
      </c>
      <c r="J557" s="727">
        <v>100</v>
      </c>
      <c r="K557" s="700"/>
    </row>
    <row r="558" spans="1:11" s="658" customFormat="1" ht="15">
      <c r="A558" s="881"/>
      <c r="B558" s="881"/>
      <c r="C558" s="881"/>
      <c r="D558" s="883"/>
      <c r="E558" s="685" t="s">
        <v>1622</v>
      </c>
      <c r="F558" s="696">
        <v>2020</v>
      </c>
      <c r="G558" s="166">
        <v>1000000</v>
      </c>
      <c r="H558" s="673">
        <v>0</v>
      </c>
      <c r="I558" s="166">
        <v>1000000</v>
      </c>
      <c r="J558" s="727">
        <v>100</v>
      </c>
      <c r="K558" s="700"/>
    </row>
    <row r="559" spans="1:11" s="658" customFormat="1" ht="15">
      <c r="A559" s="881"/>
      <c r="B559" s="881"/>
      <c r="C559" s="881"/>
      <c r="D559" s="883"/>
      <c r="E559" s="682" t="s">
        <v>1623</v>
      </c>
      <c r="F559" s="696">
        <v>2020</v>
      </c>
      <c r="G559" s="686">
        <v>26000</v>
      </c>
      <c r="H559" s="673">
        <v>0</v>
      </c>
      <c r="I559" s="686">
        <v>26000</v>
      </c>
      <c r="J559" s="727">
        <v>100</v>
      </c>
      <c r="K559" s="700"/>
    </row>
    <row r="560" spans="1:11" s="658" customFormat="1" ht="46.5">
      <c r="A560" s="881"/>
      <c r="B560" s="881"/>
      <c r="C560" s="881"/>
      <c r="D560" s="883"/>
      <c r="E560" s="682" t="s">
        <v>1624</v>
      </c>
      <c r="F560" s="696">
        <v>2020</v>
      </c>
      <c r="G560" s="686">
        <v>190000</v>
      </c>
      <c r="H560" s="673">
        <v>0</v>
      </c>
      <c r="I560" s="686">
        <v>190000</v>
      </c>
      <c r="J560" s="727">
        <v>100</v>
      </c>
      <c r="K560" s="700"/>
    </row>
    <row r="561" spans="1:11" s="658" customFormat="1" ht="15">
      <c r="A561" s="881"/>
      <c r="B561" s="881"/>
      <c r="C561" s="881"/>
      <c r="D561" s="883"/>
      <c r="E561" s="682" t="s">
        <v>1625</v>
      </c>
      <c r="F561" s="696">
        <v>2020</v>
      </c>
      <c r="G561" s="686">
        <v>1241000</v>
      </c>
      <c r="H561" s="673">
        <v>0</v>
      </c>
      <c r="I561" s="686">
        <v>1241000</v>
      </c>
      <c r="J561" s="727">
        <v>100</v>
      </c>
      <c r="K561" s="700"/>
    </row>
    <row r="562" spans="1:11" s="658" customFormat="1" ht="30.75">
      <c r="A562" s="881"/>
      <c r="B562" s="881"/>
      <c r="C562" s="881"/>
      <c r="D562" s="883"/>
      <c r="E562" s="685" t="s">
        <v>1626</v>
      </c>
      <c r="F562" s="696" t="s">
        <v>1229</v>
      </c>
      <c r="G562" s="686">
        <v>674803</v>
      </c>
      <c r="H562" s="673">
        <f>(I562/G562*100-100)*-1</f>
        <v>8.97121085709459</v>
      </c>
      <c r="I562" s="701">
        <v>614265</v>
      </c>
      <c r="J562" s="727">
        <v>100</v>
      </c>
      <c r="K562" s="700"/>
    </row>
    <row r="563" spans="1:11" s="658" customFormat="1" ht="46.5">
      <c r="A563" s="881"/>
      <c r="B563" s="881"/>
      <c r="C563" s="881"/>
      <c r="D563" s="883"/>
      <c r="E563" s="685" t="s">
        <v>1627</v>
      </c>
      <c r="F563" s="696" t="s">
        <v>1266</v>
      </c>
      <c r="G563" s="166">
        <v>1100000</v>
      </c>
      <c r="H563" s="673">
        <v>0</v>
      </c>
      <c r="I563" s="701">
        <f>1100000-1080000</f>
        <v>20000</v>
      </c>
      <c r="J563" s="727">
        <v>1.8</v>
      </c>
      <c r="K563" s="700"/>
    </row>
    <row r="564" spans="1:11" s="658" customFormat="1" ht="30.75">
      <c r="A564" s="881"/>
      <c r="B564" s="881"/>
      <c r="C564" s="881"/>
      <c r="D564" s="883"/>
      <c r="E564" s="685" t="s">
        <v>1628</v>
      </c>
      <c r="F564" s="696">
        <v>2020</v>
      </c>
      <c r="G564" s="166">
        <v>144705.34</v>
      </c>
      <c r="H564" s="673">
        <v>0</v>
      </c>
      <c r="I564" s="701">
        <v>144705.34</v>
      </c>
      <c r="J564" s="727">
        <v>100</v>
      </c>
      <c r="K564" s="700"/>
    </row>
    <row r="565" spans="1:11" s="658" customFormat="1" ht="30.75">
      <c r="A565" s="881"/>
      <c r="B565" s="881"/>
      <c r="C565" s="881"/>
      <c r="D565" s="883"/>
      <c r="E565" s="685" t="s">
        <v>1629</v>
      </c>
      <c r="F565" s="696" t="s">
        <v>1266</v>
      </c>
      <c r="G565" s="166">
        <f>3900000+254770</f>
        <v>4154770</v>
      </c>
      <c r="H565" s="673">
        <v>0</v>
      </c>
      <c r="I565" s="701">
        <f>3900000+254770-3900000</f>
        <v>254770</v>
      </c>
      <c r="J565" s="727">
        <v>6.1</v>
      </c>
      <c r="K565" s="700"/>
    </row>
    <row r="566" spans="1:11" s="658" customFormat="1" ht="30.75">
      <c r="A566" s="881"/>
      <c r="B566" s="881"/>
      <c r="C566" s="881"/>
      <c r="D566" s="883"/>
      <c r="E566" s="685" t="s">
        <v>1630</v>
      </c>
      <c r="F566" s="696">
        <v>2020</v>
      </c>
      <c r="G566" s="166">
        <v>700000</v>
      </c>
      <c r="H566" s="673">
        <v>0</v>
      </c>
      <c r="I566" s="701">
        <v>700000</v>
      </c>
      <c r="J566" s="727">
        <v>100</v>
      </c>
      <c r="K566" s="700"/>
    </row>
    <row r="567" spans="1:11" s="658" customFormat="1" ht="30.75">
      <c r="A567" s="881"/>
      <c r="B567" s="881"/>
      <c r="C567" s="881"/>
      <c r="D567" s="883"/>
      <c r="E567" s="685" t="s">
        <v>1631</v>
      </c>
      <c r="F567" s="696" t="s">
        <v>1266</v>
      </c>
      <c r="G567" s="166">
        <v>14210020</v>
      </c>
      <c r="H567" s="673">
        <v>0</v>
      </c>
      <c r="I567" s="701">
        <f>14210020-5000000-5000000</f>
        <v>4210020</v>
      </c>
      <c r="J567" s="727">
        <v>29.6</v>
      </c>
      <c r="K567" s="700"/>
    </row>
    <row r="568" spans="1:12" s="658" customFormat="1" ht="30.75">
      <c r="A568" s="881"/>
      <c r="B568" s="881"/>
      <c r="C568" s="881"/>
      <c r="D568" s="883"/>
      <c r="E568" s="685" t="s">
        <v>1632</v>
      </c>
      <c r="F568" s="696">
        <v>2020</v>
      </c>
      <c r="G568" s="166">
        <v>3000000</v>
      </c>
      <c r="H568" s="673">
        <v>0</v>
      </c>
      <c r="I568" s="701">
        <f>3000000-1500000+1500000</f>
        <v>3000000</v>
      </c>
      <c r="J568" s="727">
        <v>100</v>
      </c>
      <c r="K568" s="700"/>
      <c r="L568" s="743"/>
    </row>
    <row r="569" spans="1:11" s="658" customFormat="1" ht="15" hidden="1">
      <c r="A569" s="881"/>
      <c r="B569" s="881"/>
      <c r="C569" s="881"/>
      <c r="D569" s="883"/>
      <c r="E569" s="682" t="s">
        <v>1633</v>
      </c>
      <c r="F569" s="696">
        <v>2020</v>
      </c>
      <c r="G569" s="686"/>
      <c r="H569" s="673">
        <v>0</v>
      </c>
      <c r="I569" s="686"/>
      <c r="J569" s="727">
        <v>100</v>
      </c>
      <c r="K569" s="700"/>
    </row>
    <row r="570" spans="1:11" s="658" customFormat="1" ht="46.5" hidden="1">
      <c r="A570" s="881"/>
      <c r="B570" s="881"/>
      <c r="C570" s="881"/>
      <c r="D570" s="883"/>
      <c r="E570" s="682" t="s">
        <v>1634</v>
      </c>
      <c r="F570" s="696">
        <v>2020</v>
      </c>
      <c r="G570" s="686"/>
      <c r="H570" s="673">
        <v>0</v>
      </c>
      <c r="I570" s="686"/>
      <c r="J570" s="727"/>
      <c r="K570" s="700"/>
    </row>
    <row r="571" spans="1:11" s="658" customFormat="1" ht="46.5" hidden="1">
      <c r="A571" s="881"/>
      <c r="B571" s="881"/>
      <c r="C571" s="881"/>
      <c r="D571" s="883"/>
      <c r="E571" s="682" t="s">
        <v>1635</v>
      </c>
      <c r="F571" s="696">
        <v>2020</v>
      </c>
      <c r="G571" s="686"/>
      <c r="H571" s="673">
        <v>0</v>
      </c>
      <c r="I571" s="686"/>
      <c r="J571" s="727"/>
      <c r="K571" s="700"/>
    </row>
    <row r="572" spans="1:11" s="658" customFormat="1" ht="15">
      <c r="A572" s="881"/>
      <c r="B572" s="881"/>
      <c r="C572" s="881"/>
      <c r="D572" s="883"/>
      <c r="E572" s="682" t="s">
        <v>1636</v>
      </c>
      <c r="F572" s="696">
        <v>2020</v>
      </c>
      <c r="G572" s="686">
        <v>571636</v>
      </c>
      <c r="H572" s="673">
        <v>0</v>
      </c>
      <c r="I572" s="686">
        <v>571636</v>
      </c>
      <c r="J572" s="727">
        <v>100</v>
      </c>
      <c r="K572" s="700"/>
    </row>
    <row r="573" spans="1:11" s="658" customFormat="1" ht="46.5">
      <c r="A573" s="881"/>
      <c r="B573" s="881"/>
      <c r="C573" s="881"/>
      <c r="D573" s="883"/>
      <c r="E573" s="682" t="s">
        <v>1637</v>
      </c>
      <c r="F573" s="696">
        <v>2020</v>
      </c>
      <c r="G573" s="686">
        <v>777385</v>
      </c>
      <c r="H573" s="673">
        <v>0</v>
      </c>
      <c r="I573" s="686">
        <v>777385</v>
      </c>
      <c r="J573" s="727">
        <v>100</v>
      </c>
      <c r="K573" s="700"/>
    </row>
    <row r="574" spans="1:11" s="658" customFormat="1" ht="30.75">
      <c r="A574" s="881"/>
      <c r="B574" s="881"/>
      <c r="C574" s="881"/>
      <c r="D574" s="883"/>
      <c r="E574" s="682" t="s">
        <v>1638</v>
      </c>
      <c r="F574" s="696">
        <v>2020</v>
      </c>
      <c r="G574" s="686">
        <v>200000</v>
      </c>
      <c r="H574" s="673">
        <v>0</v>
      </c>
      <c r="I574" s="686">
        <v>200000</v>
      </c>
      <c r="J574" s="727">
        <v>100</v>
      </c>
      <c r="K574" s="700"/>
    </row>
    <row r="575" spans="1:11" s="658" customFormat="1" ht="30.75">
      <c r="A575" s="881"/>
      <c r="B575" s="881"/>
      <c r="C575" s="881"/>
      <c r="D575" s="883"/>
      <c r="E575" s="682" t="s">
        <v>1639</v>
      </c>
      <c r="F575" s="696">
        <v>2020</v>
      </c>
      <c r="G575" s="686">
        <v>436721.88</v>
      </c>
      <c r="H575" s="673">
        <v>0</v>
      </c>
      <c r="I575" s="713">
        <v>436721.88</v>
      </c>
      <c r="J575" s="727">
        <v>100</v>
      </c>
      <c r="K575" s="700"/>
    </row>
    <row r="576" spans="1:11" s="658" customFormat="1" ht="46.5" hidden="1">
      <c r="A576" s="881"/>
      <c r="B576" s="881"/>
      <c r="C576" s="881"/>
      <c r="D576" s="883"/>
      <c r="E576" s="682" t="s">
        <v>1640</v>
      </c>
      <c r="F576" s="696">
        <v>2020</v>
      </c>
      <c r="G576" s="686"/>
      <c r="H576" s="673">
        <v>0</v>
      </c>
      <c r="I576" s="713"/>
      <c r="J576" s="727">
        <v>100</v>
      </c>
      <c r="K576" s="700"/>
    </row>
    <row r="577" spans="1:11" s="658" customFormat="1" ht="15">
      <c r="A577" s="881"/>
      <c r="B577" s="881"/>
      <c r="C577" s="881"/>
      <c r="D577" s="883"/>
      <c r="E577" s="682" t="s">
        <v>1641</v>
      </c>
      <c r="F577" s="696">
        <v>2020</v>
      </c>
      <c r="G577" s="686">
        <v>198701.8</v>
      </c>
      <c r="H577" s="673">
        <v>0</v>
      </c>
      <c r="I577" s="713">
        <v>198701.8</v>
      </c>
      <c r="J577" s="727">
        <v>100</v>
      </c>
      <c r="K577" s="700"/>
    </row>
    <row r="578" spans="1:11" s="658" customFormat="1" ht="30.75" hidden="1">
      <c r="A578" s="881"/>
      <c r="B578" s="881"/>
      <c r="C578" s="881"/>
      <c r="D578" s="883"/>
      <c r="E578" s="682" t="s">
        <v>1642</v>
      </c>
      <c r="F578" s="696">
        <v>2020</v>
      </c>
      <c r="G578" s="686"/>
      <c r="H578" s="673">
        <v>0</v>
      </c>
      <c r="I578" s="713"/>
      <c r="J578" s="727">
        <v>100</v>
      </c>
      <c r="K578" s="700"/>
    </row>
    <row r="579" spans="1:11" s="658" customFormat="1" ht="15" hidden="1">
      <c r="A579" s="881"/>
      <c r="B579" s="881"/>
      <c r="C579" s="881"/>
      <c r="D579" s="883"/>
      <c r="E579" s="682" t="s">
        <v>1643</v>
      </c>
      <c r="F579" s="696">
        <v>2020</v>
      </c>
      <c r="G579" s="686">
        <v>6926.46</v>
      </c>
      <c r="H579" s="673">
        <v>0</v>
      </c>
      <c r="I579" s="713"/>
      <c r="J579" s="727">
        <v>100</v>
      </c>
      <c r="K579" s="700"/>
    </row>
    <row r="580" spans="1:11" s="658" customFormat="1" ht="46.5">
      <c r="A580" s="881"/>
      <c r="B580" s="881"/>
      <c r="C580" s="881"/>
      <c r="D580" s="883"/>
      <c r="E580" s="685" t="s">
        <v>1644</v>
      </c>
      <c r="F580" s="696" t="s">
        <v>1266</v>
      </c>
      <c r="G580" s="166">
        <v>1150000</v>
      </c>
      <c r="H580" s="673">
        <v>0</v>
      </c>
      <c r="I580" s="701">
        <f>1150000-1100000</f>
        <v>50000</v>
      </c>
      <c r="J580" s="727">
        <v>4.3</v>
      </c>
      <c r="K580" s="700"/>
    </row>
    <row r="581" spans="1:11" s="658" customFormat="1" ht="46.5">
      <c r="A581" s="881"/>
      <c r="B581" s="881"/>
      <c r="C581" s="881"/>
      <c r="D581" s="883"/>
      <c r="E581" s="685" t="s">
        <v>1645</v>
      </c>
      <c r="F581" s="696" t="s">
        <v>1266</v>
      </c>
      <c r="G581" s="166">
        <v>1520000</v>
      </c>
      <c r="H581" s="673">
        <v>0</v>
      </c>
      <c r="I581" s="701">
        <f>1520000-1470000</f>
        <v>50000</v>
      </c>
      <c r="J581" s="727">
        <v>3.3</v>
      </c>
      <c r="K581" s="700"/>
    </row>
    <row r="582" spans="1:11" s="658" customFormat="1" ht="46.5">
      <c r="A582" s="881"/>
      <c r="B582" s="881"/>
      <c r="C582" s="881"/>
      <c r="D582" s="883"/>
      <c r="E582" s="685" t="s">
        <v>1646</v>
      </c>
      <c r="F582" s="696">
        <v>2020</v>
      </c>
      <c r="G582" s="166">
        <f>45375+30000</f>
        <v>75375</v>
      </c>
      <c r="H582" s="673">
        <v>0</v>
      </c>
      <c r="I582" s="701">
        <f>45375+30000</f>
        <v>75375</v>
      </c>
      <c r="J582" s="727">
        <v>100</v>
      </c>
      <c r="K582" s="700"/>
    </row>
    <row r="583" spans="1:11" s="658" customFormat="1" ht="62.25">
      <c r="A583" s="881"/>
      <c r="B583" s="881"/>
      <c r="C583" s="881"/>
      <c r="D583" s="883"/>
      <c r="E583" s="685" t="s">
        <v>1647</v>
      </c>
      <c r="F583" s="696">
        <v>2020</v>
      </c>
      <c r="G583" s="166">
        <f>503500+96467.92</f>
        <v>599967.92</v>
      </c>
      <c r="H583" s="673">
        <v>0</v>
      </c>
      <c r="I583" s="166">
        <f>503500+96467.92</f>
        <v>599967.92</v>
      </c>
      <c r="J583" s="727">
        <v>100</v>
      </c>
      <c r="K583" s="700"/>
    </row>
    <row r="584" spans="1:11" s="658" customFormat="1" ht="30.75">
      <c r="A584" s="881"/>
      <c r="B584" s="881"/>
      <c r="C584" s="881"/>
      <c r="D584" s="883"/>
      <c r="E584" s="682" t="s">
        <v>1648</v>
      </c>
      <c r="F584" s="696">
        <v>2020</v>
      </c>
      <c r="G584" s="686">
        <v>90000</v>
      </c>
      <c r="H584" s="673">
        <v>0</v>
      </c>
      <c r="I584" s="686">
        <v>90000</v>
      </c>
      <c r="J584" s="727">
        <v>100</v>
      </c>
      <c r="K584" s="700"/>
    </row>
    <row r="585" spans="1:11" s="658" customFormat="1" ht="42.75" customHeight="1" hidden="1">
      <c r="A585" s="881"/>
      <c r="B585" s="881"/>
      <c r="C585" s="881"/>
      <c r="D585" s="883"/>
      <c r="E585" s="682" t="s">
        <v>1649</v>
      </c>
      <c r="F585" s="696">
        <v>2020</v>
      </c>
      <c r="G585" s="686"/>
      <c r="H585" s="673">
        <v>0</v>
      </c>
      <c r="I585" s="686"/>
      <c r="J585" s="727">
        <v>100</v>
      </c>
      <c r="K585" s="700"/>
    </row>
    <row r="586" spans="1:11" s="658" customFormat="1" ht="62.25" hidden="1">
      <c r="A586" s="881"/>
      <c r="B586" s="881"/>
      <c r="C586" s="881"/>
      <c r="D586" s="883"/>
      <c r="E586" s="682" t="s">
        <v>1650</v>
      </c>
      <c r="F586" s="696">
        <v>2020</v>
      </c>
      <c r="G586" s="686"/>
      <c r="H586" s="673">
        <v>0</v>
      </c>
      <c r="I586" s="686"/>
      <c r="J586" s="727">
        <v>100</v>
      </c>
      <c r="K586" s="700"/>
    </row>
    <row r="587" spans="1:11" s="658" customFormat="1" ht="30.75">
      <c r="A587" s="881"/>
      <c r="B587" s="881"/>
      <c r="C587" s="881"/>
      <c r="D587" s="883"/>
      <c r="E587" s="685" t="s">
        <v>1651</v>
      </c>
      <c r="F587" s="696" t="s">
        <v>1229</v>
      </c>
      <c r="G587" s="686">
        <v>427618</v>
      </c>
      <c r="H587" s="673">
        <f>(I587/G587*100-100)*-1</f>
        <v>3.7515492799648342</v>
      </c>
      <c r="I587" s="166">
        <v>411575.7</v>
      </c>
      <c r="J587" s="727">
        <v>100</v>
      </c>
      <c r="K587" s="700"/>
    </row>
    <row r="588" spans="1:11" s="658" customFormat="1" ht="15">
      <c r="A588" s="881"/>
      <c r="B588" s="881"/>
      <c r="C588" s="881"/>
      <c r="D588" s="883"/>
      <c r="E588" s="742" t="s">
        <v>1652</v>
      </c>
      <c r="F588" s="166"/>
      <c r="G588" s="726"/>
      <c r="H588" s="673"/>
      <c r="I588" s="674">
        <f>SUM(I589:I596)</f>
        <v>16524472</v>
      </c>
      <c r="J588" s="727"/>
      <c r="K588" s="700"/>
    </row>
    <row r="589" spans="1:11" s="658" customFormat="1" ht="15">
      <c r="A589" s="881"/>
      <c r="B589" s="881"/>
      <c r="C589" s="881"/>
      <c r="D589" s="883"/>
      <c r="E589" s="685" t="s">
        <v>1653</v>
      </c>
      <c r="F589" s="696"/>
      <c r="G589" s="686"/>
      <c r="H589" s="673"/>
      <c r="I589" s="166">
        <f>10342100+20000</f>
        <v>10362100</v>
      </c>
      <c r="J589" s="727"/>
      <c r="K589" s="700"/>
    </row>
    <row r="590" spans="1:11" ht="15">
      <c r="A590" s="881"/>
      <c r="B590" s="881"/>
      <c r="C590" s="881"/>
      <c r="D590" s="883"/>
      <c r="E590" s="681" t="s">
        <v>1654</v>
      </c>
      <c r="F590" s="737"/>
      <c r="G590" s="662"/>
      <c r="H590" s="678"/>
      <c r="I590" s="662">
        <v>40000</v>
      </c>
      <c r="J590" s="734"/>
      <c r="K590" s="700"/>
    </row>
    <row r="591" spans="1:11" ht="15">
      <c r="A591" s="881"/>
      <c r="B591" s="881"/>
      <c r="C591" s="881"/>
      <c r="D591" s="883"/>
      <c r="E591" s="681" t="s">
        <v>1655</v>
      </c>
      <c r="F591" s="737"/>
      <c r="G591" s="662"/>
      <c r="H591" s="678"/>
      <c r="I591" s="662">
        <v>4900000</v>
      </c>
      <c r="J591" s="734"/>
      <c r="K591" s="700"/>
    </row>
    <row r="592" spans="1:11" ht="15">
      <c r="A592" s="881"/>
      <c r="B592" s="881"/>
      <c r="C592" s="881"/>
      <c r="D592" s="883"/>
      <c r="E592" s="681" t="s">
        <v>1656</v>
      </c>
      <c r="F592" s="737"/>
      <c r="G592" s="662"/>
      <c r="H592" s="678"/>
      <c r="I592" s="662">
        <v>150000</v>
      </c>
      <c r="J592" s="734"/>
      <c r="K592" s="700"/>
    </row>
    <row r="593" spans="1:11" ht="15">
      <c r="A593" s="881"/>
      <c r="B593" s="881"/>
      <c r="C593" s="881"/>
      <c r="D593" s="883"/>
      <c r="E593" s="681" t="s">
        <v>1657</v>
      </c>
      <c r="F593" s="737"/>
      <c r="G593" s="662"/>
      <c r="H593" s="678"/>
      <c r="I593" s="662">
        <v>17316</v>
      </c>
      <c r="J593" s="734"/>
      <c r="K593" s="700"/>
    </row>
    <row r="594" spans="1:11" ht="15">
      <c r="A594" s="881"/>
      <c r="B594" s="881"/>
      <c r="C594" s="881"/>
      <c r="D594" s="883"/>
      <c r="E594" s="681" t="s">
        <v>1658</v>
      </c>
      <c r="F594" s="737"/>
      <c r="G594" s="662"/>
      <c r="H594" s="678"/>
      <c r="I594" s="662">
        <f>897622-376.8-20000</f>
        <v>877245.2</v>
      </c>
      <c r="J594" s="734"/>
      <c r="K594" s="700"/>
    </row>
    <row r="595" spans="1:11" ht="46.5">
      <c r="A595" s="881"/>
      <c r="B595" s="881"/>
      <c r="C595" s="881"/>
      <c r="D595" s="883"/>
      <c r="E595" s="681" t="s">
        <v>1659</v>
      </c>
      <c r="F595" s="737"/>
      <c r="G595" s="662"/>
      <c r="H595" s="678"/>
      <c r="I595" s="662">
        <v>150000</v>
      </c>
      <c r="J595" s="734"/>
      <c r="K595" s="700"/>
    </row>
    <row r="596" spans="1:11" ht="30.75">
      <c r="A596" s="881"/>
      <c r="B596" s="881"/>
      <c r="C596" s="881"/>
      <c r="D596" s="883"/>
      <c r="E596" s="681" t="s">
        <v>1660</v>
      </c>
      <c r="F596" s="737" t="s">
        <v>1288</v>
      </c>
      <c r="G596" s="662">
        <v>1123531</v>
      </c>
      <c r="H596" s="678">
        <f>(I596/G596*100-100)*-1</f>
        <v>97.52469669283714</v>
      </c>
      <c r="I596" s="662">
        <f>27434+376.8</f>
        <v>27810.8</v>
      </c>
      <c r="J596" s="734">
        <v>100</v>
      </c>
      <c r="K596" s="700"/>
    </row>
    <row r="597" spans="1:11" ht="15">
      <c r="A597" s="881"/>
      <c r="B597" s="881"/>
      <c r="C597" s="881"/>
      <c r="D597" s="883"/>
      <c r="E597" s="744" t="s">
        <v>1661</v>
      </c>
      <c r="F597" s="99"/>
      <c r="G597" s="733"/>
      <c r="H597" s="678"/>
      <c r="I597" s="98">
        <f>SUM(I598:I652)</f>
        <v>27717644.55</v>
      </c>
      <c r="J597" s="734"/>
      <c r="K597" s="700"/>
    </row>
    <row r="598" spans="1:11" ht="46.5">
      <c r="A598" s="881"/>
      <c r="B598" s="881"/>
      <c r="C598" s="881"/>
      <c r="D598" s="883"/>
      <c r="E598" s="745" t="s">
        <v>1662</v>
      </c>
      <c r="F598" s="737">
        <v>2020</v>
      </c>
      <c r="G598" s="662">
        <v>106763.8</v>
      </c>
      <c r="H598" s="678">
        <v>0</v>
      </c>
      <c r="I598" s="662">
        <v>106763.8</v>
      </c>
      <c r="J598" s="734">
        <v>100</v>
      </c>
      <c r="K598" s="700"/>
    </row>
    <row r="599" spans="1:11" s="658" customFormat="1" ht="46.5">
      <c r="A599" s="881"/>
      <c r="B599" s="881"/>
      <c r="C599" s="881"/>
      <c r="D599" s="883"/>
      <c r="E599" s="682" t="s">
        <v>1663</v>
      </c>
      <c r="F599" s="696" t="s">
        <v>1266</v>
      </c>
      <c r="G599" s="686">
        <v>90000</v>
      </c>
      <c r="H599" s="673">
        <v>0</v>
      </c>
      <c r="I599" s="713">
        <f>90000-60000</f>
        <v>30000</v>
      </c>
      <c r="J599" s="727">
        <v>33.3</v>
      </c>
      <c r="K599" s="700"/>
    </row>
    <row r="600" spans="1:11" s="658" customFormat="1" ht="46.5">
      <c r="A600" s="881"/>
      <c r="B600" s="881"/>
      <c r="C600" s="881"/>
      <c r="D600" s="883"/>
      <c r="E600" s="698" t="s">
        <v>1664</v>
      </c>
      <c r="F600" s="696">
        <v>2020</v>
      </c>
      <c r="G600" s="686">
        <v>203310.64</v>
      </c>
      <c r="H600" s="673">
        <v>0</v>
      </c>
      <c r="I600" s="713">
        <v>203310.64</v>
      </c>
      <c r="J600" s="727">
        <v>100</v>
      </c>
      <c r="K600" s="700"/>
    </row>
    <row r="601" spans="1:11" s="658" customFormat="1" ht="46.5">
      <c r="A601" s="881"/>
      <c r="B601" s="881"/>
      <c r="C601" s="881"/>
      <c r="D601" s="883"/>
      <c r="E601" s="682" t="s">
        <v>1665</v>
      </c>
      <c r="F601" s="696">
        <v>2020</v>
      </c>
      <c r="G601" s="686">
        <v>90000</v>
      </c>
      <c r="H601" s="673">
        <v>0</v>
      </c>
      <c r="I601" s="713">
        <v>90000</v>
      </c>
      <c r="J601" s="727">
        <v>100</v>
      </c>
      <c r="K601" s="700"/>
    </row>
    <row r="602" spans="1:11" s="658" customFormat="1" ht="46.5">
      <c r="A602" s="881"/>
      <c r="B602" s="881"/>
      <c r="C602" s="881"/>
      <c r="D602" s="883"/>
      <c r="E602" s="682" t="s">
        <v>1666</v>
      </c>
      <c r="F602" s="696" t="s">
        <v>1266</v>
      </c>
      <c r="G602" s="686">
        <v>175000</v>
      </c>
      <c r="H602" s="673">
        <v>0</v>
      </c>
      <c r="I602" s="713">
        <f>175000-125000</f>
        <v>50000</v>
      </c>
      <c r="J602" s="727">
        <v>28.6</v>
      </c>
      <c r="K602" s="700"/>
    </row>
    <row r="603" spans="1:11" s="658" customFormat="1" ht="46.5">
      <c r="A603" s="881"/>
      <c r="B603" s="881"/>
      <c r="C603" s="881"/>
      <c r="D603" s="883"/>
      <c r="E603" s="682" t="s">
        <v>1667</v>
      </c>
      <c r="F603" s="696" t="s">
        <v>1266</v>
      </c>
      <c r="G603" s="686">
        <v>320000</v>
      </c>
      <c r="H603" s="673">
        <v>0</v>
      </c>
      <c r="I603" s="713">
        <f>320000-280000</f>
        <v>40000</v>
      </c>
      <c r="J603" s="727">
        <v>12.5</v>
      </c>
      <c r="K603" s="700"/>
    </row>
    <row r="604" spans="1:11" s="658" customFormat="1" ht="46.5">
      <c r="A604" s="881"/>
      <c r="B604" s="881"/>
      <c r="C604" s="881"/>
      <c r="D604" s="883"/>
      <c r="E604" s="682" t="s">
        <v>1668</v>
      </c>
      <c r="F604" s="696">
        <v>2020</v>
      </c>
      <c r="G604" s="686">
        <v>125000</v>
      </c>
      <c r="H604" s="673">
        <v>0</v>
      </c>
      <c r="I604" s="713">
        <v>125000</v>
      </c>
      <c r="J604" s="727">
        <v>100</v>
      </c>
      <c r="K604" s="700"/>
    </row>
    <row r="605" spans="1:11" s="658" customFormat="1" ht="46.5">
      <c r="A605" s="881"/>
      <c r="B605" s="881"/>
      <c r="C605" s="881"/>
      <c r="D605" s="883"/>
      <c r="E605" s="682" t="s">
        <v>1669</v>
      </c>
      <c r="F605" s="696">
        <v>2020</v>
      </c>
      <c r="G605" s="686">
        <v>90000</v>
      </c>
      <c r="H605" s="673">
        <v>0</v>
      </c>
      <c r="I605" s="713">
        <v>90000</v>
      </c>
      <c r="J605" s="727">
        <v>100</v>
      </c>
      <c r="K605" s="700"/>
    </row>
    <row r="606" spans="1:11" s="658" customFormat="1" ht="46.5">
      <c r="A606" s="881"/>
      <c r="B606" s="881"/>
      <c r="C606" s="881"/>
      <c r="D606" s="883"/>
      <c r="E606" s="682" t="s">
        <v>1670</v>
      </c>
      <c r="F606" s="696" t="s">
        <v>1266</v>
      </c>
      <c r="G606" s="686">
        <v>245000</v>
      </c>
      <c r="H606" s="673">
        <v>0</v>
      </c>
      <c r="I606" s="713">
        <f>245000-200000</f>
        <v>45000</v>
      </c>
      <c r="J606" s="727">
        <v>18.4</v>
      </c>
      <c r="K606" s="700"/>
    </row>
    <row r="607" spans="1:11" s="658" customFormat="1" ht="30.75">
      <c r="A607" s="881"/>
      <c r="B607" s="881"/>
      <c r="C607" s="881"/>
      <c r="D607" s="883"/>
      <c r="E607" s="738" t="s">
        <v>1671</v>
      </c>
      <c r="F607" s="696" t="s">
        <v>1266</v>
      </c>
      <c r="G607" s="686">
        <v>7040000</v>
      </c>
      <c r="H607" s="673">
        <v>0</v>
      </c>
      <c r="I607" s="713">
        <f>6312000+728000-6300000</f>
        <v>740000</v>
      </c>
      <c r="J607" s="727">
        <v>10.5</v>
      </c>
      <c r="K607" s="700"/>
    </row>
    <row r="608" spans="1:11" s="658" customFormat="1" ht="30.75">
      <c r="A608" s="881"/>
      <c r="B608" s="881"/>
      <c r="C608" s="881"/>
      <c r="D608" s="883"/>
      <c r="E608" s="685" t="s">
        <v>1672</v>
      </c>
      <c r="F608" s="696">
        <v>2020</v>
      </c>
      <c r="G608" s="166">
        <v>850000</v>
      </c>
      <c r="H608" s="673">
        <v>0</v>
      </c>
      <c r="I608" s="701">
        <v>850000</v>
      </c>
      <c r="J608" s="727">
        <v>100</v>
      </c>
      <c r="K608" s="700"/>
    </row>
    <row r="609" spans="1:11" s="658" customFormat="1" ht="46.5">
      <c r="A609" s="881"/>
      <c r="B609" s="881"/>
      <c r="C609" s="881"/>
      <c r="D609" s="883"/>
      <c r="E609" s="682" t="s">
        <v>1673</v>
      </c>
      <c r="F609" s="696" t="s">
        <v>1266</v>
      </c>
      <c r="G609" s="686">
        <v>95100</v>
      </c>
      <c r="H609" s="673">
        <v>0</v>
      </c>
      <c r="I609" s="713">
        <f>95100-65000</f>
        <v>30100</v>
      </c>
      <c r="J609" s="727">
        <v>31.6</v>
      </c>
      <c r="K609" s="700"/>
    </row>
    <row r="610" spans="1:11" s="658" customFormat="1" ht="46.5">
      <c r="A610" s="881"/>
      <c r="B610" s="881"/>
      <c r="C610" s="881"/>
      <c r="D610" s="883"/>
      <c r="E610" s="682" t="s">
        <v>1674</v>
      </c>
      <c r="F610" s="696" t="s">
        <v>1266</v>
      </c>
      <c r="G610" s="686">
        <v>343600</v>
      </c>
      <c r="H610" s="673">
        <v>0</v>
      </c>
      <c r="I610" s="713">
        <f>343600-300000</f>
        <v>43600</v>
      </c>
      <c r="J610" s="727">
        <v>12.5</v>
      </c>
      <c r="K610" s="700"/>
    </row>
    <row r="611" spans="1:11" s="658" customFormat="1" ht="30.75">
      <c r="A611" s="881"/>
      <c r="B611" s="881"/>
      <c r="C611" s="881"/>
      <c r="D611" s="883"/>
      <c r="E611" s="738" t="s">
        <v>1675</v>
      </c>
      <c r="F611" s="696">
        <v>2020</v>
      </c>
      <c r="G611" s="686">
        <v>720000</v>
      </c>
      <c r="H611" s="673">
        <v>0</v>
      </c>
      <c r="I611" s="686">
        <v>720000</v>
      </c>
      <c r="J611" s="727">
        <v>100</v>
      </c>
      <c r="K611" s="700"/>
    </row>
    <row r="612" spans="1:11" s="658" customFormat="1" ht="46.5">
      <c r="A612" s="881"/>
      <c r="B612" s="881"/>
      <c r="C612" s="881"/>
      <c r="D612" s="883"/>
      <c r="E612" s="682" t="s">
        <v>1676</v>
      </c>
      <c r="F612" s="696">
        <v>2020</v>
      </c>
      <c r="G612" s="686">
        <v>390000</v>
      </c>
      <c r="H612" s="673">
        <v>0</v>
      </c>
      <c r="I612" s="686">
        <v>390000</v>
      </c>
      <c r="J612" s="727">
        <v>100</v>
      </c>
      <c r="K612" s="700"/>
    </row>
    <row r="613" spans="1:11" s="658" customFormat="1" ht="46.5">
      <c r="A613" s="881"/>
      <c r="B613" s="881"/>
      <c r="C613" s="881"/>
      <c r="D613" s="883"/>
      <c r="E613" s="682" t="s">
        <v>1677</v>
      </c>
      <c r="F613" s="696">
        <v>2020</v>
      </c>
      <c r="G613" s="686">
        <v>364100</v>
      </c>
      <c r="H613" s="673">
        <v>0</v>
      </c>
      <c r="I613" s="686">
        <v>364100</v>
      </c>
      <c r="J613" s="727">
        <v>100</v>
      </c>
      <c r="K613" s="700"/>
    </row>
    <row r="614" spans="1:11" s="658" customFormat="1" ht="46.5">
      <c r="A614" s="881"/>
      <c r="B614" s="881"/>
      <c r="C614" s="881"/>
      <c r="D614" s="883"/>
      <c r="E614" s="682" t="s">
        <v>1678</v>
      </c>
      <c r="F614" s="696">
        <v>2020</v>
      </c>
      <c r="G614" s="686">
        <v>225000</v>
      </c>
      <c r="H614" s="673">
        <v>0</v>
      </c>
      <c r="I614" s="686">
        <v>225000</v>
      </c>
      <c r="J614" s="727">
        <v>100</v>
      </c>
      <c r="K614" s="700"/>
    </row>
    <row r="615" spans="1:11" s="658" customFormat="1" ht="46.5">
      <c r="A615" s="881"/>
      <c r="B615" s="881"/>
      <c r="C615" s="881"/>
      <c r="D615" s="883"/>
      <c r="E615" s="698" t="s">
        <v>1679</v>
      </c>
      <c r="F615" s="696">
        <v>2020</v>
      </c>
      <c r="G615" s="686">
        <v>250000</v>
      </c>
      <c r="H615" s="673">
        <v>0</v>
      </c>
      <c r="I615" s="686">
        <v>250000</v>
      </c>
      <c r="J615" s="727">
        <v>100</v>
      </c>
      <c r="K615" s="700"/>
    </row>
    <row r="616" spans="1:11" s="658" customFormat="1" ht="30.75">
      <c r="A616" s="881"/>
      <c r="B616" s="881"/>
      <c r="C616" s="881"/>
      <c r="D616" s="883"/>
      <c r="E616" s="682" t="s">
        <v>1680</v>
      </c>
      <c r="F616" s="696">
        <v>2020</v>
      </c>
      <c r="G616" s="686">
        <v>200000</v>
      </c>
      <c r="H616" s="673">
        <v>0</v>
      </c>
      <c r="I616" s="686">
        <v>200000</v>
      </c>
      <c r="J616" s="727">
        <v>100</v>
      </c>
      <c r="K616" s="700"/>
    </row>
    <row r="617" spans="1:11" s="658" customFormat="1" ht="46.5">
      <c r="A617" s="881"/>
      <c r="B617" s="881"/>
      <c r="C617" s="881"/>
      <c r="D617" s="883"/>
      <c r="E617" s="682" t="s">
        <v>1681</v>
      </c>
      <c r="F617" s="696">
        <v>2020</v>
      </c>
      <c r="G617" s="686">
        <v>400000</v>
      </c>
      <c r="H617" s="673">
        <v>0</v>
      </c>
      <c r="I617" s="686">
        <v>400000</v>
      </c>
      <c r="J617" s="727">
        <v>100</v>
      </c>
      <c r="K617" s="700"/>
    </row>
    <row r="618" spans="1:11" s="658" customFormat="1" ht="46.5">
      <c r="A618" s="881"/>
      <c r="B618" s="881"/>
      <c r="C618" s="881"/>
      <c r="D618" s="883"/>
      <c r="E618" s="685" t="s">
        <v>1682</v>
      </c>
      <c r="F618" s="696">
        <v>2020</v>
      </c>
      <c r="G618" s="166">
        <v>327750</v>
      </c>
      <c r="H618" s="673">
        <v>0</v>
      </c>
      <c r="I618" s="166">
        <v>327750</v>
      </c>
      <c r="J618" s="727">
        <v>100</v>
      </c>
      <c r="K618" s="700"/>
    </row>
    <row r="619" spans="1:11" s="658" customFormat="1" ht="30.75">
      <c r="A619" s="881"/>
      <c r="B619" s="881"/>
      <c r="C619" s="881"/>
      <c r="D619" s="883"/>
      <c r="E619" s="746" t="s">
        <v>1683</v>
      </c>
      <c r="F619" s="696">
        <v>2020</v>
      </c>
      <c r="G619" s="166">
        <v>637125</v>
      </c>
      <c r="H619" s="673">
        <v>0</v>
      </c>
      <c r="I619" s="166">
        <v>637125</v>
      </c>
      <c r="J619" s="727">
        <v>100</v>
      </c>
      <c r="K619" s="700"/>
    </row>
    <row r="620" spans="1:11" s="658" customFormat="1" ht="30.75">
      <c r="A620" s="881"/>
      <c r="B620" s="881"/>
      <c r="C620" s="881"/>
      <c r="D620" s="883"/>
      <c r="E620" s="682" t="s">
        <v>1684</v>
      </c>
      <c r="F620" s="696">
        <v>2020</v>
      </c>
      <c r="G620" s="686">
        <v>421067.74</v>
      </c>
      <c r="H620" s="673">
        <v>0</v>
      </c>
      <c r="I620" s="686">
        <v>421067.74</v>
      </c>
      <c r="J620" s="727">
        <v>100</v>
      </c>
      <c r="K620" s="700"/>
    </row>
    <row r="621" spans="1:11" s="658" customFormat="1" ht="46.5">
      <c r="A621" s="881"/>
      <c r="B621" s="881"/>
      <c r="C621" s="881"/>
      <c r="D621" s="883"/>
      <c r="E621" s="698" t="s">
        <v>1685</v>
      </c>
      <c r="F621" s="696">
        <v>2020</v>
      </c>
      <c r="G621" s="686">
        <v>1610000</v>
      </c>
      <c r="H621" s="673">
        <v>0</v>
      </c>
      <c r="I621" s="686">
        <v>1610000</v>
      </c>
      <c r="J621" s="727">
        <v>100</v>
      </c>
      <c r="K621" s="700"/>
    </row>
    <row r="622" spans="1:11" s="658" customFormat="1" ht="30.75">
      <c r="A622" s="881"/>
      <c r="B622" s="881"/>
      <c r="C622" s="881"/>
      <c r="D622" s="883"/>
      <c r="E622" s="682" t="s">
        <v>1686</v>
      </c>
      <c r="F622" s="696">
        <v>2020</v>
      </c>
      <c r="G622" s="686">
        <v>365000</v>
      </c>
      <c r="H622" s="673">
        <v>0</v>
      </c>
      <c r="I622" s="686">
        <v>365000</v>
      </c>
      <c r="J622" s="727">
        <v>100</v>
      </c>
      <c r="K622" s="700"/>
    </row>
    <row r="623" spans="1:11" s="658" customFormat="1" ht="30.75">
      <c r="A623" s="881"/>
      <c r="B623" s="881"/>
      <c r="C623" s="881"/>
      <c r="D623" s="883"/>
      <c r="E623" s="738" t="s">
        <v>1687</v>
      </c>
      <c r="F623" s="696" t="s">
        <v>1266</v>
      </c>
      <c r="G623" s="686">
        <v>1650000</v>
      </c>
      <c r="H623" s="673">
        <v>0</v>
      </c>
      <c r="I623" s="713">
        <f>1650000-1500000</f>
        <v>150000</v>
      </c>
      <c r="J623" s="727">
        <v>9.1</v>
      </c>
      <c r="K623" s="700"/>
    </row>
    <row r="624" spans="1:11" s="658" customFormat="1" ht="46.5">
      <c r="A624" s="881"/>
      <c r="B624" s="881"/>
      <c r="C624" s="881"/>
      <c r="D624" s="883"/>
      <c r="E624" s="746" t="s">
        <v>1688</v>
      </c>
      <c r="F624" s="696">
        <v>2020</v>
      </c>
      <c r="G624" s="166">
        <v>301300</v>
      </c>
      <c r="H624" s="673">
        <v>0</v>
      </c>
      <c r="I624" s="701">
        <v>301300</v>
      </c>
      <c r="J624" s="727">
        <v>100</v>
      </c>
      <c r="K624" s="700"/>
    </row>
    <row r="625" spans="1:11" s="658" customFormat="1" ht="46.5">
      <c r="A625" s="881"/>
      <c r="B625" s="881"/>
      <c r="C625" s="881"/>
      <c r="D625" s="883"/>
      <c r="E625" s="698" t="s">
        <v>1689</v>
      </c>
      <c r="F625" s="696">
        <v>2020</v>
      </c>
      <c r="G625" s="686">
        <v>1280000</v>
      </c>
      <c r="H625" s="673">
        <v>0</v>
      </c>
      <c r="I625" s="713">
        <v>1280000</v>
      </c>
      <c r="J625" s="727">
        <v>100</v>
      </c>
      <c r="K625" s="700"/>
    </row>
    <row r="626" spans="1:11" s="658" customFormat="1" ht="30.75">
      <c r="A626" s="881"/>
      <c r="B626" s="881"/>
      <c r="C626" s="881"/>
      <c r="D626" s="883"/>
      <c r="E626" s="698" t="s">
        <v>1690</v>
      </c>
      <c r="F626" s="696">
        <v>2020</v>
      </c>
      <c r="G626" s="686">
        <v>120000</v>
      </c>
      <c r="H626" s="673">
        <v>0</v>
      </c>
      <c r="I626" s="713">
        <v>120000</v>
      </c>
      <c r="J626" s="727">
        <v>100</v>
      </c>
      <c r="K626" s="700"/>
    </row>
    <row r="627" spans="1:11" s="658" customFormat="1" ht="15">
      <c r="A627" s="881"/>
      <c r="B627" s="881"/>
      <c r="C627" s="881"/>
      <c r="D627" s="883"/>
      <c r="E627" s="738" t="s">
        <v>1691</v>
      </c>
      <c r="F627" s="696">
        <v>2020</v>
      </c>
      <c r="G627" s="686">
        <v>1450000</v>
      </c>
      <c r="H627" s="673">
        <v>0</v>
      </c>
      <c r="I627" s="713">
        <v>1450000</v>
      </c>
      <c r="J627" s="727">
        <v>100</v>
      </c>
      <c r="K627" s="700"/>
    </row>
    <row r="628" spans="1:11" s="658" customFormat="1" ht="63" customHeight="1">
      <c r="A628" s="881"/>
      <c r="B628" s="881"/>
      <c r="C628" s="881"/>
      <c r="D628" s="883"/>
      <c r="E628" s="746" t="s">
        <v>1692</v>
      </c>
      <c r="F628" s="696">
        <v>2020</v>
      </c>
      <c r="G628" s="166">
        <v>178250</v>
      </c>
      <c r="H628" s="673">
        <v>0</v>
      </c>
      <c r="I628" s="701">
        <v>178250</v>
      </c>
      <c r="J628" s="727">
        <v>100</v>
      </c>
      <c r="K628" s="700"/>
    </row>
    <row r="629" spans="1:11" s="658" customFormat="1" ht="46.5">
      <c r="A629" s="881"/>
      <c r="B629" s="881"/>
      <c r="C629" s="881"/>
      <c r="D629" s="883"/>
      <c r="E629" s="698" t="s">
        <v>1693</v>
      </c>
      <c r="F629" s="696">
        <v>2020</v>
      </c>
      <c r="G629" s="686">
        <v>520000</v>
      </c>
      <c r="H629" s="673">
        <v>0</v>
      </c>
      <c r="I629" s="713">
        <v>520000</v>
      </c>
      <c r="J629" s="727">
        <v>100</v>
      </c>
      <c r="K629" s="700"/>
    </row>
    <row r="630" spans="1:11" s="658" customFormat="1" ht="30.75">
      <c r="A630" s="881"/>
      <c r="B630" s="881"/>
      <c r="C630" s="881"/>
      <c r="D630" s="883"/>
      <c r="E630" s="682" t="s">
        <v>1694</v>
      </c>
      <c r="F630" s="696" t="s">
        <v>1266</v>
      </c>
      <c r="G630" s="686">
        <v>320310</v>
      </c>
      <c r="H630" s="673">
        <v>0</v>
      </c>
      <c r="I630" s="713">
        <f>320310-270000+270000</f>
        <v>320310</v>
      </c>
      <c r="J630" s="727">
        <v>15.6</v>
      </c>
      <c r="K630" s="700"/>
    </row>
    <row r="631" spans="1:11" s="658" customFormat="1" ht="47.25" customHeight="1">
      <c r="A631" s="881"/>
      <c r="B631" s="881"/>
      <c r="C631" s="881"/>
      <c r="D631" s="883"/>
      <c r="E631" s="746" t="s">
        <v>1695</v>
      </c>
      <c r="F631" s="696">
        <v>2020</v>
      </c>
      <c r="G631" s="166">
        <v>178250</v>
      </c>
      <c r="H631" s="673">
        <v>0</v>
      </c>
      <c r="I631" s="701">
        <v>178250</v>
      </c>
      <c r="J631" s="727">
        <v>100</v>
      </c>
      <c r="K631" s="700"/>
    </row>
    <row r="632" spans="1:11" s="658" customFormat="1" ht="30.75">
      <c r="A632" s="881"/>
      <c r="B632" s="881"/>
      <c r="C632" s="881"/>
      <c r="D632" s="883"/>
      <c r="E632" s="682" t="s">
        <v>1696</v>
      </c>
      <c r="F632" s="696">
        <v>2020</v>
      </c>
      <c r="G632" s="686">
        <v>400000</v>
      </c>
      <c r="H632" s="673">
        <v>0</v>
      </c>
      <c r="I632" s="713">
        <v>400000</v>
      </c>
      <c r="J632" s="727">
        <v>100</v>
      </c>
      <c r="K632" s="700"/>
    </row>
    <row r="633" spans="1:11" s="658" customFormat="1" ht="46.5">
      <c r="A633" s="881"/>
      <c r="B633" s="881"/>
      <c r="C633" s="881"/>
      <c r="D633" s="883"/>
      <c r="E633" s="682" t="s">
        <v>1697</v>
      </c>
      <c r="F633" s="696" t="s">
        <v>1266</v>
      </c>
      <c r="G633" s="686">
        <v>523400</v>
      </c>
      <c r="H633" s="673">
        <v>0</v>
      </c>
      <c r="I633" s="713">
        <f>523400-470000</f>
        <v>53400</v>
      </c>
      <c r="J633" s="727">
        <v>10.1</v>
      </c>
      <c r="K633" s="700"/>
    </row>
    <row r="634" spans="1:11" s="658" customFormat="1" ht="30.75" hidden="1">
      <c r="A634" s="881"/>
      <c r="B634" s="881"/>
      <c r="C634" s="881"/>
      <c r="D634" s="883"/>
      <c r="E634" s="682" t="s">
        <v>1698</v>
      </c>
      <c r="F634" s="696">
        <v>2020</v>
      </c>
      <c r="G634" s="686">
        <v>120000</v>
      </c>
      <c r="H634" s="673">
        <v>0</v>
      </c>
      <c r="I634" s="713"/>
      <c r="J634" s="727">
        <v>100</v>
      </c>
      <c r="K634" s="700"/>
    </row>
    <row r="635" spans="1:11" s="658" customFormat="1" ht="30.75">
      <c r="A635" s="881"/>
      <c r="B635" s="881"/>
      <c r="C635" s="881"/>
      <c r="D635" s="883"/>
      <c r="E635" s="698" t="s">
        <v>1699</v>
      </c>
      <c r="F635" s="696">
        <v>2020</v>
      </c>
      <c r="G635" s="686">
        <v>122276.53</v>
      </c>
      <c r="H635" s="673">
        <v>0</v>
      </c>
      <c r="I635" s="713">
        <v>122276.53</v>
      </c>
      <c r="J635" s="727">
        <v>100</v>
      </c>
      <c r="K635" s="700"/>
    </row>
    <row r="636" spans="1:11" s="658" customFormat="1" ht="30.75">
      <c r="A636" s="881"/>
      <c r="B636" s="881"/>
      <c r="C636" s="881"/>
      <c r="D636" s="883"/>
      <c r="E636" s="698" t="s">
        <v>1700</v>
      </c>
      <c r="F636" s="696">
        <v>2020</v>
      </c>
      <c r="G636" s="686">
        <v>110000</v>
      </c>
      <c r="H636" s="673">
        <v>0</v>
      </c>
      <c r="I636" s="713">
        <v>110000</v>
      </c>
      <c r="J636" s="727">
        <v>100</v>
      </c>
      <c r="K636" s="700"/>
    </row>
    <row r="637" spans="1:11" s="658" customFormat="1" ht="15">
      <c r="A637" s="881"/>
      <c r="B637" s="881"/>
      <c r="C637" s="881"/>
      <c r="D637" s="883"/>
      <c r="E637" s="738" t="s">
        <v>1701</v>
      </c>
      <c r="F637" s="696">
        <v>2020</v>
      </c>
      <c r="G637" s="686">
        <v>1500000</v>
      </c>
      <c r="H637" s="673">
        <v>0</v>
      </c>
      <c r="I637" s="713">
        <v>1500000</v>
      </c>
      <c r="J637" s="727">
        <v>100</v>
      </c>
      <c r="K637" s="700"/>
    </row>
    <row r="638" spans="1:11" s="658" customFormat="1" ht="15">
      <c r="A638" s="881"/>
      <c r="B638" s="881"/>
      <c r="C638" s="881"/>
      <c r="D638" s="883"/>
      <c r="E638" s="738" t="s">
        <v>1702</v>
      </c>
      <c r="F638" s="696">
        <v>2020</v>
      </c>
      <c r="G638" s="686">
        <v>1490000</v>
      </c>
      <c r="H638" s="673">
        <v>0</v>
      </c>
      <c r="I638" s="713">
        <v>1490000</v>
      </c>
      <c r="J638" s="727">
        <v>100</v>
      </c>
      <c r="K638" s="700"/>
    </row>
    <row r="639" spans="1:11" s="658" customFormat="1" ht="30.75">
      <c r="A639" s="881"/>
      <c r="B639" s="881"/>
      <c r="C639" s="881"/>
      <c r="D639" s="883"/>
      <c r="E639" s="746" t="s">
        <v>1703</v>
      </c>
      <c r="F639" s="696">
        <v>2020</v>
      </c>
      <c r="G639" s="166">
        <v>1000000</v>
      </c>
      <c r="H639" s="673">
        <v>0</v>
      </c>
      <c r="I639" s="701">
        <v>1000000</v>
      </c>
      <c r="J639" s="727">
        <v>100</v>
      </c>
      <c r="K639" s="700"/>
    </row>
    <row r="640" spans="1:11" s="658" customFormat="1" ht="30.75">
      <c r="A640" s="881"/>
      <c r="B640" s="881"/>
      <c r="C640" s="881"/>
      <c r="D640" s="883"/>
      <c r="E640" s="682" t="s">
        <v>1704</v>
      </c>
      <c r="F640" s="696">
        <v>2020</v>
      </c>
      <c r="G640" s="686">
        <v>355600</v>
      </c>
      <c r="H640" s="673">
        <v>0</v>
      </c>
      <c r="I640" s="713">
        <v>355600</v>
      </c>
      <c r="J640" s="727">
        <v>100</v>
      </c>
      <c r="K640" s="700"/>
    </row>
    <row r="641" spans="1:11" s="658" customFormat="1" ht="15">
      <c r="A641" s="881"/>
      <c r="B641" s="881"/>
      <c r="C641" s="881"/>
      <c r="D641" s="883"/>
      <c r="E641" s="682" t="s">
        <v>1705</v>
      </c>
      <c r="F641" s="696">
        <v>2020</v>
      </c>
      <c r="G641" s="686">
        <v>525041.09</v>
      </c>
      <c r="H641" s="673">
        <v>0</v>
      </c>
      <c r="I641" s="713">
        <v>525041.09</v>
      </c>
      <c r="J641" s="727">
        <v>100</v>
      </c>
      <c r="K641" s="700"/>
    </row>
    <row r="642" spans="1:11" s="658" customFormat="1" ht="30.75">
      <c r="A642" s="881"/>
      <c r="B642" s="881"/>
      <c r="C642" s="881"/>
      <c r="D642" s="883"/>
      <c r="E642" s="672" t="s">
        <v>1706</v>
      </c>
      <c r="F642" s="696" t="s">
        <v>1266</v>
      </c>
      <c r="G642" s="166">
        <v>545000</v>
      </c>
      <c r="H642" s="673">
        <v>0</v>
      </c>
      <c r="I642" s="701">
        <f>545000-400000</f>
        <v>145000</v>
      </c>
      <c r="J642" s="727">
        <v>26.6</v>
      </c>
      <c r="K642" s="700"/>
    </row>
    <row r="643" spans="1:11" s="658" customFormat="1" ht="15">
      <c r="A643" s="881"/>
      <c r="B643" s="881"/>
      <c r="C643" s="881"/>
      <c r="D643" s="883"/>
      <c r="E643" s="682" t="s">
        <v>1707</v>
      </c>
      <c r="F643" s="696">
        <v>2020</v>
      </c>
      <c r="G643" s="686">
        <v>37909.43</v>
      </c>
      <c r="H643" s="673">
        <v>0</v>
      </c>
      <c r="I643" s="686">
        <v>37909.43</v>
      </c>
      <c r="J643" s="727">
        <v>100</v>
      </c>
      <c r="K643" s="700"/>
    </row>
    <row r="644" spans="1:11" s="658" customFormat="1" ht="30.75">
      <c r="A644" s="881"/>
      <c r="B644" s="881"/>
      <c r="C644" s="881"/>
      <c r="D644" s="883"/>
      <c r="E644" s="698" t="s">
        <v>1708</v>
      </c>
      <c r="F644" s="696">
        <v>2020</v>
      </c>
      <c r="G644" s="686">
        <v>130000</v>
      </c>
      <c r="H644" s="673">
        <v>0</v>
      </c>
      <c r="I644" s="686">
        <v>130000</v>
      </c>
      <c r="J644" s="727">
        <v>100</v>
      </c>
      <c r="K644" s="700"/>
    </row>
    <row r="645" spans="1:11" s="658" customFormat="1" ht="15">
      <c r="A645" s="881"/>
      <c r="B645" s="881"/>
      <c r="C645" s="881"/>
      <c r="D645" s="883"/>
      <c r="E645" s="738" t="s">
        <v>1709</v>
      </c>
      <c r="F645" s="696">
        <v>2020</v>
      </c>
      <c r="G645" s="686">
        <v>1570000</v>
      </c>
      <c r="H645" s="673">
        <v>0</v>
      </c>
      <c r="I645" s="686">
        <v>1570000</v>
      </c>
      <c r="J645" s="727">
        <v>100</v>
      </c>
      <c r="K645" s="700"/>
    </row>
    <row r="646" spans="1:11" s="658" customFormat="1" ht="30.75">
      <c r="A646" s="881"/>
      <c r="B646" s="881"/>
      <c r="C646" s="881"/>
      <c r="D646" s="883"/>
      <c r="E646" s="698" t="s">
        <v>1710</v>
      </c>
      <c r="F646" s="696">
        <v>2020</v>
      </c>
      <c r="G646" s="686">
        <v>1590000</v>
      </c>
      <c r="H646" s="673">
        <v>0</v>
      </c>
      <c r="I646" s="686">
        <v>1590000</v>
      </c>
      <c r="J646" s="727">
        <v>100</v>
      </c>
      <c r="K646" s="700"/>
    </row>
    <row r="647" spans="1:11" s="658" customFormat="1" ht="30.75" hidden="1">
      <c r="A647" s="881"/>
      <c r="B647" s="881"/>
      <c r="C647" s="881"/>
      <c r="D647" s="883"/>
      <c r="E647" s="738" t="s">
        <v>1711</v>
      </c>
      <c r="F647" s="696">
        <v>2020</v>
      </c>
      <c r="G647" s="686">
        <v>780000</v>
      </c>
      <c r="H647" s="673">
        <v>0</v>
      </c>
      <c r="I647" s="686"/>
      <c r="J647" s="727">
        <v>100</v>
      </c>
      <c r="K647" s="700"/>
    </row>
    <row r="648" spans="1:11" s="658" customFormat="1" ht="30.75">
      <c r="A648" s="881"/>
      <c r="B648" s="881"/>
      <c r="C648" s="881"/>
      <c r="D648" s="883"/>
      <c r="E648" s="698" t="s">
        <v>1712</v>
      </c>
      <c r="F648" s="696">
        <v>2020</v>
      </c>
      <c r="G648" s="686">
        <v>1510000</v>
      </c>
      <c r="H648" s="673">
        <v>0</v>
      </c>
      <c r="I648" s="686">
        <v>1510000</v>
      </c>
      <c r="J648" s="727">
        <v>100</v>
      </c>
      <c r="K648" s="700"/>
    </row>
    <row r="649" spans="1:11" s="658" customFormat="1" ht="30.75">
      <c r="A649" s="881"/>
      <c r="B649" s="881"/>
      <c r="C649" s="881"/>
      <c r="D649" s="883"/>
      <c r="E649" s="698" t="s">
        <v>1713</v>
      </c>
      <c r="F649" s="696">
        <v>2020</v>
      </c>
      <c r="G649" s="686">
        <v>120000</v>
      </c>
      <c r="H649" s="673">
        <v>0</v>
      </c>
      <c r="I649" s="686">
        <v>120000</v>
      </c>
      <c r="J649" s="727">
        <v>100</v>
      </c>
      <c r="K649" s="700"/>
    </row>
    <row r="650" spans="1:11" s="658" customFormat="1" ht="30.75">
      <c r="A650" s="881"/>
      <c r="B650" s="881"/>
      <c r="C650" s="881"/>
      <c r="D650" s="883"/>
      <c r="E650" s="682" t="s">
        <v>1714</v>
      </c>
      <c r="F650" s="696">
        <v>2020</v>
      </c>
      <c r="G650" s="686">
        <v>1056490.32</v>
      </c>
      <c r="H650" s="673">
        <v>0</v>
      </c>
      <c r="I650" s="686">
        <v>1056490.32</v>
      </c>
      <c r="J650" s="727">
        <v>100</v>
      </c>
      <c r="K650" s="700"/>
    </row>
    <row r="651" spans="1:11" s="658" customFormat="1" ht="46.5">
      <c r="A651" s="881"/>
      <c r="B651" s="881"/>
      <c r="C651" s="881"/>
      <c r="D651" s="883"/>
      <c r="E651" s="738" t="s">
        <v>1715</v>
      </c>
      <c r="F651" s="696">
        <v>2020</v>
      </c>
      <c r="G651" s="686">
        <v>1512000</v>
      </c>
      <c r="H651" s="673">
        <v>0</v>
      </c>
      <c r="I651" s="686">
        <v>1512000</v>
      </c>
      <c r="J651" s="727">
        <v>100</v>
      </c>
      <c r="K651" s="700"/>
    </row>
    <row r="652" spans="1:11" s="658" customFormat="1" ht="46.5">
      <c r="A652" s="881"/>
      <c r="B652" s="881"/>
      <c r="C652" s="881"/>
      <c r="D652" s="883"/>
      <c r="E652" s="738" t="s">
        <v>1716</v>
      </c>
      <c r="F652" s="696">
        <v>2020</v>
      </c>
      <c r="G652" s="686">
        <v>1638000</v>
      </c>
      <c r="H652" s="673">
        <v>0</v>
      </c>
      <c r="I652" s="686">
        <v>1638000</v>
      </c>
      <c r="J652" s="727">
        <v>100</v>
      </c>
      <c r="K652" s="700"/>
    </row>
    <row r="653" spans="1:11" s="658" customFormat="1" ht="30.75">
      <c r="A653" s="881"/>
      <c r="B653" s="881"/>
      <c r="C653" s="881"/>
      <c r="D653" s="883"/>
      <c r="E653" s="742" t="s">
        <v>1717</v>
      </c>
      <c r="F653" s="166"/>
      <c r="G653" s="726"/>
      <c r="H653" s="673"/>
      <c r="I653" s="674">
        <f>SUM(I654:I659)</f>
        <v>3499000</v>
      </c>
      <c r="J653" s="727"/>
      <c r="K653" s="700"/>
    </row>
    <row r="654" spans="1:11" s="658" customFormat="1" ht="15" hidden="1">
      <c r="A654" s="881"/>
      <c r="B654" s="881"/>
      <c r="C654" s="881"/>
      <c r="D654" s="883"/>
      <c r="E654" s="746" t="s">
        <v>1718</v>
      </c>
      <c r="F654" s="696"/>
      <c r="G654" s="686"/>
      <c r="H654" s="673"/>
      <c r="I654" s="686"/>
      <c r="J654" s="727"/>
      <c r="K654" s="700"/>
    </row>
    <row r="655" spans="1:11" s="658" customFormat="1" ht="15">
      <c r="A655" s="881"/>
      <c r="B655" s="881"/>
      <c r="C655" s="881"/>
      <c r="D655" s="883"/>
      <c r="E655" s="746" t="s">
        <v>1719</v>
      </c>
      <c r="F655" s="696"/>
      <c r="G655" s="686"/>
      <c r="H655" s="673"/>
      <c r="I655" s="686">
        <v>1000000</v>
      </c>
      <c r="J655" s="727"/>
      <c r="K655" s="700"/>
    </row>
    <row r="656" spans="1:11" s="658" customFormat="1" ht="15" hidden="1">
      <c r="A656" s="881"/>
      <c r="B656" s="881"/>
      <c r="C656" s="881"/>
      <c r="D656" s="883"/>
      <c r="E656" s="746" t="s">
        <v>1720</v>
      </c>
      <c r="F656" s="696"/>
      <c r="G656" s="686"/>
      <c r="H656" s="673"/>
      <c r="I656" s="713"/>
      <c r="J656" s="727"/>
      <c r="K656" s="700"/>
    </row>
    <row r="657" spans="1:11" s="658" customFormat="1" ht="46.5">
      <c r="A657" s="881"/>
      <c r="B657" s="881"/>
      <c r="C657" s="881"/>
      <c r="D657" s="883"/>
      <c r="E657" s="746" t="s">
        <v>1721</v>
      </c>
      <c r="F657" s="696">
        <v>2020</v>
      </c>
      <c r="G657" s="686">
        <v>1800000</v>
      </c>
      <c r="H657" s="673">
        <v>0</v>
      </c>
      <c r="I657" s="686">
        <f>1800000-1000</f>
        <v>1799000</v>
      </c>
      <c r="J657" s="727">
        <v>100</v>
      </c>
      <c r="K657" s="700"/>
    </row>
    <row r="658" spans="1:11" s="658" customFormat="1" ht="30.75">
      <c r="A658" s="881"/>
      <c r="B658" s="881"/>
      <c r="C658" s="881"/>
      <c r="D658" s="883"/>
      <c r="E658" s="746" t="s">
        <v>1722</v>
      </c>
      <c r="F658" s="696">
        <v>2020</v>
      </c>
      <c r="G658" s="686">
        <v>300000</v>
      </c>
      <c r="H658" s="673">
        <v>0</v>
      </c>
      <c r="I658" s="686">
        <v>300000</v>
      </c>
      <c r="J658" s="727">
        <v>100</v>
      </c>
      <c r="K658" s="700"/>
    </row>
    <row r="659" spans="1:11" s="658" customFormat="1" ht="30.75">
      <c r="A659" s="881"/>
      <c r="B659" s="881"/>
      <c r="C659" s="881"/>
      <c r="D659" s="883"/>
      <c r="E659" s="746" t="s">
        <v>1723</v>
      </c>
      <c r="F659" s="696">
        <v>2020</v>
      </c>
      <c r="G659" s="686">
        <v>400000</v>
      </c>
      <c r="H659" s="673">
        <v>0</v>
      </c>
      <c r="I659" s="686">
        <v>400000</v>
      </c>
      <c r="J659" s="727">
        <v>100</v>
      </c>
      <c r="K659" s="700"/>
    </row>
    <row r="660" spans="1:10" s="658" customFormat="1" ht="15">
      <c r="A660" s="874" t="s">
        <v>439</v>
      </c>
      <c r="B660" s="875">
        <v>8110</v>
      </c>
      <c r="C660" s="874" t="s">
        <v>472</v>
      </c>
      <c r="D660" s="869" t="s">
        <v>438</v>
      </c>
      <c r="E660" s="672"/>
      <c r="F660" s="166"/>
      <c r="G660" s="726"/>
      <c r="H660" s="673"/>
      <c r="I660" s="674">
        <f>I661</f>
        <v>600000</v>
      </c>
      <c r="J660" s="727"/>
    </row>
    <row r="661" spans="1:10" s="658" customFormat="1" ht="36" customHeight="1">
      <c r="A661" s="874"/>
      <c r="B661" s="875"/>
      <c r="C661" s="874"/>
      <c r="D661" s="869"/>
      <c r="E661" s="672" t="s">
        <v>1724</v>
      </c>
      <c r="F661" s="166"/>
      <c r="G661" s="726"/>
      <c r="H661" s="673"/>
      <c r="I661" s="166">
        <v>600000</v>
      </c>
      <c r="J661" s="727"/>
    </row>
    <row r="662" spans="1:10" s="658" customFormat="1" ht="15">
      <c r="A662" s="874" t="s">
        <v>600</v>
      </c>
      <c r="B662" s="875">
        <v>9800</v>
      </c>
      <c r="C662" s="874" t="s">
        <v>106</v>
      </c>
      <c r="D662" s="869" t="s">
        <v>599</v>
      </c>
      <c r="E662" s="672"/>
      <c r="F662" s="166"/>
      <c r="G662" s="726"/>
      <c r="H662" s="673"/>
      <c r="I662" s="674">
        <f>I663</f>
        <v>1109950</v>
      </c>
      <c r="J662" s="727"/>
    </row>
    <row r="663" spans="1:10" s="658" customFormat="1" ht="64.5" customHeight="1">
      <c r="A663" s="874"/>
      <c r="B663" s="875"/>
      <c r="C663" s="874"/>
      <c r="D663" s="869"/>
      <c r="E663" s="672" t="s">
        <v>264</v>
      </c>
      <c r="F663" s="166"/>
      <c r="G663" s="726"/>
      <c r="H663" s="673"/>
      <c r="I663" s="166">
        <v>1109950</v>
      </c>
      <c r="J663" s="727"/>
    </row>
    <row r="664" spans="1:10" ht="15" hidden="1">
      <c r="A664" s="663" t="s">
        <v>448</v>
      </c>
      <c r="B664" s="664"/>
      <c r="C664" s="665"/>
      <c r="D664" s="649" t="s">
        <v>1725</v>
      </c>
      <c r="E664" s="649"/>
      <c r="F664" s="649"/>
      <c r="G664" s="649"/>
      <c r="H664" s="650"/>
      <c r="I664" s="651">
        <f>I665</f>
        <v>0</v>
      </c>
      <c r="J664" s="652"/>
    </row>
    <row r="665" spans="1:10" ht="15" hidden="1">
      <c r="A665" s="663" t="s">
        <v>450</v>
      </c>
      <c r="B665" s="664"/>
      <c r="C665" s="665"/>
      <c r="D665" s="649" t="s">
        <v>1725</v>
      </c>
      <c r="E665" s="649"/>
      <c r="F665" s="649"/>
      <c r="G665" s="649"/>
      <c r="H665" s="650"/>
      <c r="I665" s="651">
        <f>I666</f>
        <v>0</v>
      </c>
      <c r="J665" s="652"/>
    </row>
    <row r="666" spans="1:10" s="732" customFormat="1" ht="15" customHeight="1" hidden="1">
      <c r="A666" s="876" t="s">
        <v>583</v>
      </c>
      <c r="B666" s="879" t="s">
        <v>367</v>
      </c>
      <c r="C666" s="876" t="s">
        <v>105</v>
      </c>
      <c r="D666" s="873" t="s">
        <v>360</v>
      </c>
      <c r="E666" s="685"/>
      <c r="F666" s="166"/>
      <c r="G666" s="726"/>
      <c r="H666" s="673"/>
      <c r="I666" s="166">
        <f>SUM(I667:I667)</f>
        <v>0</v>
      </c>
      <c r="J666" s="727"/>
    </row>
    <row r="667" spans="1:10" s="732" customFormat="1" ht="15" hidden="1">
      <c r="A667" s="876"/>
      <c r="B667" s="879"/>
      <c r="C667" s="876"/>
      <c r="D667" s="873"/>
      <c r="E667" s="685"/>
      <c r="F667" s="166"/>
      <c r="G667" s="726"/>
      <c r="H667" s="673"/>
      <c r="I667" s="166"/>
      <c r="J667" s="727"/>
    </row>
    <row r="668" spans="1:10" ht="30.75">
      <c r="A668" s="663" t="s">
        <v>580</v>
      </c>
      <c r="B668" s="664"/>
      <c r="C668" s="665"/>
      <c r="D668" s="649" t="s">
        <v>1726</v>
      </c>
      <c r="E668" s="649"/>
      <c r="F668" s="649"/>
      <c r="G668" s="649"/>
      <c r="H668" s="650"/>
      <c r="I668" s="651">
        <f>I669</f>
        <v>168670433.16000003</v>
      </c>
      <c r="J668" s="652"/>
    </row>
    <row r="669" spans="1:10" ht="30.75">
      <c r="A669" s="663" t="s">
        <v>581</v>
      </c>
      <c r="B669" s="664"/>
      <c r="C669" s="665"/>
      <c r="D669" s="649" t="s">
        <v>1726</v>
      </c>
      <c r="E669" s="649"/>
      <c r="F669" s="649"/>
      <c r="G669" s="649"/>
      <c r="H669" s="650"/>
      <c r="I669" s="651">
        <f>I670+I672+I681+I686+I695+I704+I750+I752+I697+I679+I754</f>
        <v>168670433.16000003</v>
      </c>
      <c r="J669" s="652"/>
    </row>
    <row r="670" spans="1:10" ht="15" hidden="1">
      <c r="A670" s="876" t="s">
        <v>582</v>
      </c>
      <c r="B670" s="879" t="s">
        <v>367</v>
      </c>
      <c r="C670" s="876" t="s">
        <v>105</v>
      </c>
      <c r="D670" s="873" t="s">
        <v>360</v>
      </c>
      <c r="E670" s="685"/>
      <c r="F670" s="99"/>
      <c r="G670" s="733"/>
      <c r="H670" s="678"/>
      <c r="I670" s="674">
        <f>I671</f>
        <v>0</v>
      </c>
      <c r="J670" s="727"/>
    </row>
    <row r="671" spans="1:10" ht="15" hidden="1">
      <c r="A671" s="876"/>
      <c r="B671" s="879"/>
      <c r="C671" s="876"/>
      <c r="D671" s="873"/>
      <c r="E671" s="682"/>
      <c r="F671" s="696"/>
      <c r="G671" s="686"/>
      <c r="H671" s="697"/>
      <c r="I671" s="686"/>
      <c r="J671" s="684"/>
    </row>
    <row r="672" spans="1:10" ht="15" hidden="1">
      <c r="A672" s="876" t="s">
        <v>1727</v>
      </c>
      <c r="B672" s="877">
        <v>1020</v>
      </c>
      <c r="C672" s="878" t="s">
        <v>893</v>
      </c>
      <c r="D672" s="873" t="s">
        <v>790</v>
      </c>
      <c r="E672" s="685"/>
      <c r="F672" s="99"/>
      <c r="G672" s="733"/>
      <c r="H672" s="678"/>
      <c r="I672" s="674">
        <f>I673</f>
        <v>0</v>
      </c>
      <c r="J672" s="727"/>
    </row>
    <row r="673" spans="1:10" ht="15" hidden="1">
      <c r="A673" s="876"/>
      <c r="B673" s="877"/>
      <c r="C673" s="878"/>
      <c r="D673" s="873"/>
      <c r="E673" s="690"/>
      <c r="F673" s="696"/>
      <c r="G673" s="686"/>
      <c r="H673" s="661"/>
      <c r="I673" s="686"/>
      <c r="J673" s="684"/>
    </row>
    <row r="674" spans="1:10" ht="15" hidden="1">
      <c r="A674" s="876" t="s">
        <v>1728</v>
      </c>
      <c r="B674" s="877">
        <v>5031</v>
      </c>
      <c r="C674" s="878" t="s">
        <v>724</v>
      </c>
      <c r="D674" s="873" t="s">
        <v>526</v>
      </c>
      <c r="E674" s="685"/>
      <c r="F674" s="99"/>
      <c r="G674" s="733"/>
      <c r="H674" s="678"/>
      <c r="I674" s="166"/>
      <c r="J674" s="727"/>
    </row>
    <row r="675" spans="1:10" ht="15" hidden="1">
      <c r="A675" s="876"/>
      <c r="B675" s="877"/>
      <c r="C675" s="878"/>
      <c r="D675" s="873"/>
      <c r="E675" s="685"/>
      <c r="F675" s="99"/>
      <c r="G675" s="733"/>
      <c r="H675" s="678"/>
      <c r="I675" s="166"/>
      <c r="J675" s="727"/>
    </row>
    <row r="676" spans="1:10" ht="15" hidden="1">
      <c r="A676" s="876"/>
      <c r="B676" s="877"/>
      <c r="C676" s="878"/>
      <c r="D676" s="873"/>
      <c r="E676" s="685"/>
      <c r="F676" s="99"/>
      <c r="G676" s="733"/>
      <c r="H676" s="678"/>
      <c r="I676" s="166"/>
      <c r="J676" s="727"/>
    </row>
    <row r="677" spans="1:10" ht="15" hidden="1">
      <c r="A677" s="876" t="s">
        <v>1729</v>
      </c>
      <c r="B677" s="877">
        <v>6030</v>
      </c>
      <c r="C677" s="878" t="s">
        <v>879</v>
      </c>
      <c r="D677" s="873" t="s">
        <v>429</v>
      </c>
      <c r="E677" s="685"/>
      <c r="F677" s="99"/>
      <c r="G677" s="733"/>
      <c r="H677" s="678"/>
      <c r="I677" s="166"/>
      <c r="J677" s="727"/>
    </row>
    <row r="678" spans="1:10" ht="15" hidden="1">
      <c r="A678" s="876"/>
      <c r="B678" s="877"/>
      <c r="C678" s="878"/>
      <c r="D678" s="873"/>
      <c r="E678" s="685"/>
      <c r="F678" s="99"/>
      <c r="G678" s="733"/>
      <c r="H678" s="678"/>
      <c r="I678" s="166"/>
      <c r="J678" s="727"/>
    </row>
    <row r="679" spans="1:10" ht="15">
      <c r="A679" s="874" t="s">
        <v>146</v>
      </c>
      <c r="B679" s="875">
        <v>7310</v>
      </c>
      <c r="C679" s="874" t="s">
        <v>758</v>
      </c>
      <c r="D679" s="869" t="s">
        <v>496</v>
      </c>
      <c r="E679" s="685"/>
      <c r="F679" s="99"/>
      <c r="G679" s="733"/>
      <c r="H679" s="678"/>
      <c r="I679" s="674">
        <f>I680</f>
        <v>1440000</v>
      </c>
      <c r="J679" s="727"/>
    </row>
    <row r="680" spans="1:11" ht="46.5">
      <c r="A680" s="874"/>
      <c r="B680" s="875"/>
      <c r="C680" s="874"/>
      <c r="D680" s="869"/>
      <c r="E680" s="685" t="s">
        <v>1730</v>
      </c>
      <c r="F680" s="99" t="s">
        <v>1731</v>
      </c>
      <c r="G680" s="686">
        <v>2094529</v>
      </c>
      <c r="H680" s="678">
        <v>31.2</v>
      </c>
      <c r="I680" s="166">
        <v>1440000</v>
      </c>
      <c r="J680" s="727">
        <v>100</v>
      </c>
      <c r="K680" s="671"/>
    </row>
    <row r="681" spans="1:11" ht="15">
      <c r="A681" s="874" t="s">
        <v>145</v>
      </c>
      <c r="B681" s="875">
        <v>7321</v>
      </c>
      <c r="C681" s="874" t="s">
        <v>758</v>
      </c>
      <c r="D681" s="869" t="s">
        <v>759</v>
      </c>
      <c r="E681" s="685"/>
      <c r="F681" s="99"/>
      <c r="G681" s="733"/>
      <c r="H681" s="678"/>
      <c r="I681" s="674">
        <f>I682+I683</f>
        <v>1949532</v>
      </c>
      <c r="J681" s="727"/>
      <c r="K681" s="671"/>
    </row>
    <row r="682" spans="1:11" ht="30.75">
      <c r="A682" s="874"/>
      <c r="B682" s="875"/>
      <c r="C682" s="874"/>
      <c r="D682" s="869"/>
      <c r="E682" s="690" t="s">
        <v>1732</v>
      </c>
      <c r="F682" s="696" t="s">
        <v>1229</v>
      </c>
      <c r="G682" s="686">
        <v>1251052</v>
      </c>
      <c r="H682" s="661">
        <v>33.1</v>
      </c>
      <c r="I682" s="686">
        <v>836532</v>
      </c>
      <c r="J682" s="684">
        <v>100</v>
      </c>
      <c r="K682" s="671"/>
    </row>
    <row r="683" spans="1:11" ht="15">
      <c r="A683" s="874"/>
      <c r="B683" s="875"/>
      <c r="C683" s="874"/>
      <c r="D683" s="869"/>
      <c r="E683" s="659" t="s">
        <v>1733</v>
      </c>
      <c r="F683" s="660" t="s">
        <v>1734</v>
      </c>
      <c r="G683" s="747">
        <v>41506917</v>
      </c>
      <c r="H683" s="661">
        <v>0.7</v>
      </c>
      <c r="I683" s="662">
        <v>1113000</v>
      </c>
      <c r="J683" s="684">
        <v>3.4</v>
      </c>
      <c r="K683" s="671"/>
    </row>
    <row r="684" spans="1:11" ht="15" hidden="1">
      <c r="A684" s="867" t="s">
        <v>1735</v>
      </c>
      <c r="B684" s="867" t="s">
        <v>501</v>
      </c>
      <c r="C684" s="867" t="s">
        <v>758</v>
      </c>
      <c r="D684" s="868" t="s">
        <v>483</v>
      </c>
      <c r="E684" s="685"/>
      <c r="F684" s="99"/>
      <c r="G684" s="733"/>
      <c r="H684" s="678"/>
      <c r="I684" s="166"/>
      <c r="J684" s="727"/>
      <c r="K684" s="671"/>
    </row>
    <row r="685" spans="1:11" ht="15" hidden="1">
      <c r="A685" s="867"/>
      <c r="B685" s="867"/>
      <c r="C685" s="867"/>
      <c r="D685" s="868"/>
      <c r="E685" s="685"/>
      <c r="F685" s="99"/>
      <c r="G685" s="733"/>
      <c r="H685" s="678"/>
      <c r="I685" s="166"/>
      <c r="J685" s="727"/>
      <c r="K685" s="671"/>
    </row>
    <row r="686" spans="1:11" ht="15">
      <c r="A686" s="867" t="s">
        <v>1736</v>
      </c>
      <c r="B686" s="867" t="s">
        <v>474</v>
      </c>
      <c r="C686" s="867" t="s">
        <v>758</v>
      </c>
      <c r="D686" s="868" t="s">
        <v>475</v>
      </c>
      <c r="E686" s="685"/>
      <c r="F686" s="99"/>
      <c r="G686" s="733"/>
      <c r="H686" s="678"/>
      <c r="I686" s="674">
        <f>SUM(I687:I694)</f>
        <v>4037173.75</v>
      </c>
      <c r="J686" s="727"/>
      <c r="K686" s="671"/>
    </row>
    <row r="687" spans="1:11" ht="39" customHeight="1">
      <c r="A687" s="867"/>
      <c r="B687" s="867"/>
      <c r="C687" s="867"/>
      <c r="D687" s="868"/>
      <c r="E687" s="690" t="s">
        <v>1737</v>
      </c>
      <c r="F687" s="696">
        <v>2020</v>
      </c>
      <c r="G687" s="686">
        <v>500000</v>
      </c>
      <c r="H687" s="697">
        <v>0</v>
      </c>
      <c r="I687" s="686">
        <v>500000</v>
      </c>
      <c r="J687" s="684">
        <v>100</v>
      </c>
      <c r="K687" s="671"/>
    </row>
    <row r="688" spans="1:11" ht="30.75">
      <c r="A688" s="867"/>
      <c r="B688" s="867"/>
      <c r="C688" s="867"/>
      <c r="D688" s="868"/>
      <c r="E688" s="690" t="s">
        <v>1738</v>
      </c>
      <c r="F688" s="696" t="s">
        <v>1266</v>
      </c>
      <c r="G688" s="686">
        <v>1325000</v>
      </c>
      <c r="H688" s="697">
        <v>0</v>
      </c>
      <c r="I688" s="713">
        <f>1325000-1275000-42620</f>
        <v>7380</v>
      </c>
      <c r="J688" s="684">
        <v>0.6</v>
      </c>
      <c r="K688" s="671"/>
    </row>
    <row r="689" spans="1:11" ht="30.75">
      <c r="A689" s="867"/>
      <c r="B689" s="867"/>
      <c r="C689" s="867"/>
      <c r="D689" s="868"/>
      <c r="E689" s="672" t="s">
        <v>1739</v>
      </c>
      <c r="F689" s="166" t="s">
        <v>1229</v>
      </c>
      <c r="G689" s="166">
        <v>1504874</v>
      </c>
      <c r="H689" s="673">
        <v>92.4</v>
      </c>
      <c r="I689" s="166">
        <v>227939.12</v>
      </c>
      <c r="J689" s="727">
        <v>100</v>
      </c>
      <c r="K689" s="671"/>
    </row>
    <row r="690" spans="1:11" ht="30.75">
      <c r="A690" s="867"/>
      <c r="B690" s="867"/>
      <c r="C690" s="867"/>
      <c r="D690" s="868"/>
      <c r="E690" s="690" t="s">
        <v>1740</v>
      </c>
      <c r="F690" s="696" t="s">
        <v>1741</v>
      </c>
      <c r="G690" s="686">
        <v>1498938</v>
      </c>
      <c r="H690" s="697">
        <v>6.6</v>
      </c>
      <c r="I690" s="686">
        <f>1617191-217191</f>
        <v>1400000</v>
      </c>
      <c r="J690" s="684">
        <v>100</v>
      </c>
      <c r="K690" s="671"/>
    </row>
    <row r="691" spans="1:11" ht="30.75">
      <c r="A691" s="867"/>
      <c r="B691" s="867"/>
      <c r="C691" s="867"/>
      <c r="D691" s="868"/>
      <c r="E691" s="690" t="s">
        <v>1742</v>
      </c>
      <c r="F691" s="696" t="s">
        <v>1743</v>
      </c>
      <c r="G691" s="686">
        <v>701029</v>
      </c>
      <c r="H691" s="661">
        <v>8.6</v>
      </c>
      <c r="I691" s="686">
        <v>201461</v>
      </c>
      <c r="J691" s="684">
        <v>31.21</v>
      </c>
      <c r="K691" s="671"/>
    </row>
    <row r="692" spans="1:11" ht="30.75">
      <c r="A692" s="867"/>
      <c r="B692" s="867"/>
      <c r="C692" s="867"/>
      <c r="D692" s="868"/>
      <c r="E692" s="690" t="s">
        <v>1744</v>
      </c>
      <c r="F692" s="696">
        <v>2020</v>
      </c>
      <c r="G692" s="686">
        <v>217191</v>
      </c>
      <c r="H692" s="661">
        <v>0</v>
      </c>
      <c r="I692" s="686">
        <v>217191</v>
      </c>
      <c r="J692" s="684">
        <v>100</v>
      </c>
      <c r="K692" s="671"/>
    </row>
    <row r="693" spans="1:11" ht="30.75">
      <c r="A693" s="867"/>
      <c r="B693" s="867"/>
      <c r="C693" s="867"/>
      <c r="D693" s="868"/>
      <c r="E693" s="672" t="s">
        <v>1745</v>
      </c>
      <c r="F693" s="99" t="s">
        <v>1229</v>
      </c>
      <c r="G693" s="99">
        <v>1481056</v>
      </c>
      <c r="H693" s="678">
        <v>29.9</v>
      </c>
      <c r="I693" s="166">
        <v>1033202.63</v>
      </c>
      <c r="J693" s="727">
        <v>100</v>
      </c>
      <c r="K693" s="671"/>
    </row>
    <row r="694" spans="1:11" ht="30.75">
      <c r="A694" s="867"/>
      <c r="B694" s="867"/>
      <c r="C694" s="867"/>
      <c r="D694" s="868"/>
      <c r="E694" s="690" t="s">
        <v>1746</v>
      </c>
      <c r="F694" s="696">
        <v>2020</v>
      </c>
      <c r="G694" s="686">
        <v>450000</v>
      </c>
      <c r="H694" s="661">
        <v>0</v>
      </c>
      <c r="I694" s="686">
        <v>450000</v>
      </c>
      <c r="J694" s="684">
        <v>100</v>
      </c>
      <c r="K694" s="671"/>
    </row>
    <row r="695" spans="1:11" ht="15">
      <c r="A695" s="867" t="s">
        <v>514</v>
      </c>
      <c r="B695" s="867" t="s">
        <v>503</v>
      </c>
      <c r="C695" s="867" t="s">
        <v>153</v>
      </c>
      <c r="D695" s="868" t="s">
        <v>504</v>
      </c>
      <c r="E695" s="685"/>
      <c r="F695" s="99"/>
      <c r="G695" s="733"/>
      <c r="H695" s="678"/>
      <c r="I695" s="674">
        <f>I696</f>
        <v>80000</v>
      </c>
      <c r="J695" s="727"/>
      <c r="K695" s="671"/>
    </row>
    <row r="696" spans="1:11" ht="27" customHeight="1">
      <c r="A696" s="867"/>
      <c r="B696" s="867"/>
      <c r="C696" s="867"/>
      <c r="D696" s="868"/>
      <c r="E696" s="690" t="s">
        <v>1747</v>
      </c>
      <c r="F696" s="696"/>
      <c r="G696" s="686"/>
      <c r="H696" s="661"/>
      <c r="I696" s="686">
        <v>80000</v>
      </c>
      <c r="J696" s="684"/>
      <c r="K696" s="671"/>
    </row>
    <row r="697" spans="1:11" ht="15">
      <c r="A697" s="871" t="s">
        <v>318</v>
      </c>
      <c r="B697" s="871" t="s">
        <v>317</v>
      </c>
      <c r="C697" s="871" t="s">
        <v>411</v>
      </c>
      <c r="D697" s="872" t="s">
        <v>15</v>
      </c>
      <c r="E697" s="685"/>
      <c r="F697" s="99"/>
      <c r="G697" s="733"/>
      <c r="H697" s="678"/>
      <c r="I697" s="674">
        <f>SUM(I698:I703)</f>
        <v>6211995.4</v>
      </c>
      <c r="J697" s="727"/>
      <c r="K697" s="671"/>
    </row>
    <row r="698" spans="1:11" ht="62.25">
      <c r="A698" s="871"/>
      <c r="B698" s="871"/>
      <c r="C698" s="871"/>
      <c r="D698" s="872"/>
      <c r="E698" s="685" t="s">
        <v>1748</v>
      </c>
      <c r="F698" s="99"/>
      <c r="G698" s="733"/>
      <c r="H698" s="678"/>
      <c r="I698" s="166">
        <v>96000</v>
      </c>
      <c r="J698" s="727"/>
      <c r="K698" s="671"/>
    </row>
    <row r="699" spans="1:11" ht="46.5">
      <c r="A699" s="871"/>
      <c r="B699" s="871"/>
      <c r="C699" s="871"/>
      <c r="D699" s="872"/>
      <c r="E699" s="690" t="s">
        <v>1749</v>
      </c>
      <c r="F699" s="750">
        <v>2020</v>
      </c>
      <c r="G699" s="678">
        <v>809000</v>
      </c>
      <c r="H699" s="678">
        <v>0</v>
      </c>
      <c r="I699" s="166">
        <v>809000</v>
      </c>
      <c r="J699" s="727">
        <v>100</v>
      </c>
      <c r="K699" s="671"/>
    </row>
    <row r="700" spans="1:11" ht="30.75">
      <c r="A700" s="871"/>
      <c r="B700" s="871"/>
      <c r="C700" s="871"/>
      <c r="D700" s="872"/>
      <c r="E700" s="690" t="s">
        <v>1750</v>
      </c>
      <c r="F700" s="750">
        <v>2020</v>
      </c>
      <c r="G700" s="678">
        <v>1600000</v>
      </c>
      <c r="H700" s="678">
        <v>0</v>
      </c>
      <c r="I700" s="166">
        <v>1600000</v>
      </c>
      <c r="J700" s="727">
        <v>100</v>
      </c>
      <c r="K700" s="671"/>
    </row>
    <row r="701" spans="1:11" ht="46.5">
      <c r="A701" s="871"/>
      <c r="B701" s="871"/>
      <c r="C701" s="871"/>
      <c r="D701" s="872"/>
      <c r="E701" s="690" t="s">
        <v>1751</v>
      </c>
      <c r="F701" s="750">
        <v>2020</v>
      </c>
      <c r="G701" s="678">
        <v>659800</v>
      </c>
      <c r="H701" s="678">
        <v>0</v>
      </c>
      <c r="I701" s="166">
        <v>659800</v>
      </c>
      <c r="J701" s="727">
        <v>100</v>
      </c>
      <c r="K701" s="671"/>
    </row>
    <row r="702" spans="1:11" ht="46.5">
      <c r="A702" s="871"/>
      <c r="B702" s="871"/>
      <c r="C702" s="871"/>
      <c r="D702" s="872"/>
      <c r="E702" s="751" t="s">
        <v>1752</v>
      </c>
      <c r="F702" s="99" t="s">
        <v>1741</v>
      </c>
      <c r="G702" s="99">
        <v>5275576</v>
      </c>
      <c r="H702" s="678">
        <v>62.1</v>
      </c>
      <c r="I702" s="166">
        <v>2000000</v>
      </c>
      <c r="J702" s="727">
        <v>100</v>
      </c>
      <c r="K702" s="671"/>
    </row>
    <row r="703" spans="1:11" ht="30.75">
      <c r="A703" s="871"/>
      <c r="B703" s="871"/>
      <c r="C703" s="871"/>
      <c r="D703" s="872"/>
      <c r="E703" s="751" t="s">
        <v>1753</v>
      </c>
      <c r="F703" s="99" t="s">
        <v>1288</v>
      </c>
      <c r="G703" s="678">
        <v>2894693</v>
      </c>
      <c r="H703" s="678">
        <v>63.8</v>
      </c>
      <c r="I703" s="166">
        <v>1047195.4</v>
      </c>
      <c r="J703" s="727">
        <v>100</v>
      </c>
      <c r="K703" s="671"/>
    </row>
    <row r="704" spans="1:11" ht="15">
      <c r="A704" s="871" t="s">
        <v>505</v>
      </c>
      <c r="B704" s="871" t="s">
        <v>549</v>
      </c>
      <c r="C704" s="872" t="s">
        <v>807</v>
      </c>
      <c r="D704" s="872" t="s">
        <v>547</v>
      </c>
      <c r="E704" s="685"/>
      <c r="F704" s="99"/>
      <c r="G704" s="733"/>
      <c r="H704" s="678"/>
      <c r="I704" s="674">
        <f>SUM(I705:I749)</f>
        <v>146551732.01000002</v>
      </c>
      <c r="J704" s="727"/>
      <c r="K704" s="671"/>
    </row>
    <row r="705" spans="1:11" ht="30.75">
      <c r="A705" s="871"/>
      <c r="B705" s="871"/>
      <c r="C705" s="872"/>
      <c r="D705" s="872"/>
      <c r="E705" s="672" t="s">
        <v>1754</v>
      </c>
      <c r="F705" s="660" t="s">
        <v>1229</v>
      </c>
      <c r="G705" s="747">
        <v>2312792</v>
      </c>
      <c r="H705" s="697">
        <v>39.5</v>
      </c>
      <c r="I705" s="686">
        <v>1400000</v>
      </c>
      <c r="J705" s="684">
        <v>100</v>
      </c>
      <c r="K705" s="671"/>
    </row>
    <row r="706" spans="1:11" ht="30.75">
      <c r="A706" s="871"/>
      <c r="B706" s="871"/>
      <c r="C706" s="872"/>
      <c r="D706" s="872"/>
      <c r="E706" s="672" t="s">
        <v>1755</v>
      </c>
      <c r="F706" s="660">
        <v>2020</v>
      </c>
      <c r="G706" s="747">
        <v>1450000</v>
      </c>
      <c r="H706" s="661">
        <v>0</v>
      </c>
      <c r="I706" s="747">
        <v>1450000</v>
      </c>
      <c r="J706" s="684">
        <v>100</v>
      </c>
      <c r="K706" s="671"/>
    </row>
    <row r="707" spans="1:11" ht="30.75">
      <c r="A707" s="871"/>
      <c r="B707" s="871"/>
      <c r="C707" s="872"/>
      <c r="D707" s="872"/>
      <c r="E707" s="672" t="s">
        <v>1756</v>
      </c>
      <c r="F707" s="660" t="s">
        <v>1229</v>
      </c>
      <c r="G707" s="747">
        <v>1609940</v>
      </c>
      <c r="H707" s="661">
        <v>44.1</v>
      </c>
      <c r="I707" s="662">
        <v>843928</v>
      </c>
      <c r="J707" s="684">
        <v>100</v>
      </c>
      <c r="K707" s="671"/>
    </row>
    <row r="708" spans="1:11" ht="51.75" customHeight="1">
      <c r="A708" s="871"/>
      <c r="B708" s="871"/>
      <c r="C708" s="872"/>
      <c r="D708" s="872"/>
      <c r="E708" s="682" t="s">
        <v>1757</v>
      </c>
      <c r="F708" s="660">
        <v>2020</v>
      </c>
      <c r="G708" s="747">
        <v>1300000</v>
      </c>
      <c r="H708" s="661">
        <v>0</v>
      </c>
      <c r="I708" s="662">
        <v>1300000</v>
      </c>
      <c r="J708" s="684">
        <v>100</v>
      </c>
      <c r="K708" s="671"/>
    </row>
    <row r="709" spans="1:11" ht="30.75">
      <c r="A709" s="871"/>
      <c r="B709" s="871"/>
      <c r="C709" s="872"/>
      <c r="D709" s="872"/>
      <c r="E709" s="672" t="s">
        <v>1758</v>
      </c>
      <c r="F709" s="696">
        <v>2020</v>
      </c>
      <c r="G709" s="686">
        <v>1360000</v>
      </c>
      <c r="H709" s="661">
        <v>0</v>
      </c>
      <c r="I709" s="686">
        <f>1450000-90000</f>
        <v>1360000</v>
      </c>
      <c r="J709" s="684">
        <v>100</v>
      </c>
      <c r="K709" s="671"/>
    </row>
    <row r="710" spans="1:11" ht="30.75">
      <c r="A710" s="871"/>
      <c r="B710" s="871"/>
      <c r="C710" s="872"/>
      <c r="D710" s="872"/>
      <c r="E710" s="690" t="s">
        <v>1759</v>
      </c>
      <c r="F710" s="696">
        <v>2020</v>
      </c>
      <c r="G710" s="686">
        <v>1450000</v>
      </c>
      <c r="H710" s="661">
        <v>0</v>
      </c>
      <c r="I710" s="686">
        <v>1450000</v>
      </c>
      <c r="J710" s="684">
        <v>100</v>
      </c>
      <c r="K710" s="671"/>
    </row>
    <row r="711" spans="1:11" ht="30.75">
      <c r="A711" s="871"/>
      <c r="B711" s="871"/>
      <c r="C711" s="872"/>
      <c r="D711" s="872"/>
      <c r="E711" s="672" t="s">
        <v>1760</v>
      </c>
      <c r="F711" s="696">
        <v>2020</v>
      </c>
      <c r="G711" s="686">
        <v>200000</v>
      </c>
      <c r="H711" s="697">
        <v>0</v>
      </c>
      <c r="I711" s="686">
        <v>200000</v>
      </c>
      <c r="J711" s="684">
        <v>100</v>
      </c>
      <c r="K711" s="671"/>
    </row>
    <row r="712" spans="1:11" ht="30.75">
      <c r="A712" s="871"/>
      <c r="B712" s="871"/>
      <c r="C712" s="872"/>
      <c r="D712" s="872"/>
      <c r="E712" s="682" t="s">
        <v>1761</v>
      </c>
      <c r="F712" s="696">
        <v>2020</v>
      </c>
      <c r="G712" s="686">
        <v>1400000</v>
      </c>
      <c r="H712" s="697">
        <v>0</v>
      </c>
      <c r="I712" s="686">
        <v>1400000</v>
      </c>
      <c r="J712" s="684">
        <v>100</v>
      </c>
      <c r="K712" s="671"/>
    </row>
    <row r="713" spans="1:11" ht="30.75">
      <c r="A713" s="871"/>
      <c r="B713" s="871"/>
      <c r="C713" s="872"/>
      <c r="D713" s="872"/>
      <c r="E713" s="672" t="s">
        <v>1762</v>
      </c>
      <c r="F713" s="696" t="s">
        <v>1229</v>
      </c>
      <c r="G713" s="686">
        <v>1483867</v>
      </c>
      <c r="H713" s="661">
        <v>43.5</v>
      </c>
      <c r="I713" s="686">
        <v>838910</v>
      </c>
      <c r="J713" s="684">
        <v>100</v>
      </c>
      <c r="K713" s="671"/>
    </row>
    <row r="714" spans="1:11" ht="30.75">
      <c r="A714" s="871"/>
      <c r="B714" s="871"/>
      <c r="C714" s="872"/>
      <c r="D714" s="872"/>
      <c r="E714" s="682" t="s">
        <v>1763</v>
      </c>
      <c r="F714" s="660" t="s">
        <v>1492</v>
      </c>
      <c r="G714" s="747">
        <v>1608803</v>
      </c>
      <c r="H714" s="697">
        <v>10.7</v>
      </c>
      <c r="I714" s="686">
        <v>18531</v>
      </c>
      <c r="J714" s="684">
        <v>11.8</v>
      </c>
      <c r="K714" s="671"/>
    </row>
    <row r="715" spans="1:11" ht="30.75">
      <c r="A715" s="871"/>
      <c r="B715" s="871"/>
      <c r="C715" s="872"/>
      <c r="D715" s="872"/>
      <c r="E715" s="672" t="s">
        <v>1764</v>
      </c>
      <c r="F715" s="660" t="s">
        <v>1731</v>
      </c>
      <c r="G715" s="747">
        <v>6623349</v>
      </c>
      <c r="H715" s="697">
        <v>99</v>
      </c>
      <c r="I715" s="686">
        <v>225374.49</v>
      </c>
      <c r="J715" s="684">
        <v>100</v>
      </c>
      <c r="K715" s="671"/>
    </row>
    <row r="716" spans="1:11" ht="30.75">
      <c r="A716" s="871"/>
      <c r="B716" s="871"/>
      <c r="C716" s="872"/>
      <c r="D716" s="872"/>
      <c r="E716" s="672" t="s">
        <v>1765</v>
      </c>
      <c r="F716" s="660" t="s">
        <v>1766</v>
      </c>
      <c r="G716" s="747">
        <v>12770205</v>
      </c>
      <c r="H716" s="697">
        <v>33.5</v>
      </c>
      <c r="I716" s="686">
        <f>1493486.05+4000000</f>
        <v>5493486.05</v>
      </c>
      <c r="J716" s="684">
        <v>45.2</v>
      </c>
      <c r="K716" s="671"/>
    </row>
    <row r="717" spans="1:11" ht="30.75">
      <c r="A717" s="871"/>
      <c r="B717" s="871"/>
      <c r="C717" s="872"/>
      <c r="D717" s="872"/>
      <c r="E717" s="751" t="s">
        <v>1767</v>
      </c>
      <c r="F717" s="660" t="s">
        <v>1288</v>
      </c>
      <c r="G717" s="747">
        <v>40871184</v>
      </c>
      <c r="H717" s="697">
        <v>71.3</v>
      </c>
      <c r="I717" s="662">
        <v>8900000</v>
      </c>
      <c r="J717" s="684">
        <v>100</v>
      </c>
      <c r="K717" s="671"/>
    </row>
    <row r="718" spans="1:11" ht="30.75">
      <c r="A718" s="871"/>
      <c r="B718" s="871"/>
      <c r="C718" s="872"/>
      <c r="D718" s="872"/>
      <c r="E718" s="690" t="s">
        <v>1768</v>
      </c>
      <c r="F718" s="696" t="s">
        <v>1229</v>
      </c>
      <c r="G718" s="686">
        <v>3271778</v>
      </c>
      <c r="H718" s="661">
        <v>37.2</v>
      </c>
      <c r="I718" s="686">
        <v>1832328.6</v>
      </c>
      <c r="J718" s="684">
        <v>100</v>
      </c>
      <c r="K718" s="671"/>
    </row>
    <row r="719" spans="1:11" ht="30.75">
      <c r="A719" s="871"/>
      <c r="B719" s="871"/>
      <c r="C719" s="872"/>
      <c r="D719" s="872"/>
      <c r="E719" s="751" t="s">
        <v>1769</v>
      </c>
      <c r="F719" s="660" t="s">
        <v>1770</v>
      </c>
      <c r="G719" s="747">
        <v>167124161</v>
      </c>
      <c r="H719" s="661">
        <v>8.8</v>
      </c>
      <c r="I719" s="686">
        <f>30000000-4226093.36+5000000</f>
        <v>30773906.64</v>
      </c>
      <c r="J719" s="684">
        <v>26.7</v>
      </c>
      <c r="K719" s="671"/>
    </row>
    <row r="720" spans="1:11" ht="30.75">
      <c r="A720" s="871"/>
      <c r="B720" s="871"/>
      <c r="C720" s="872"/>
      <c r="D720" s="872"/>
      <c r="E720" s="690" t="s">
        <v>1771</v>
      </c>
      <c r="F720" s="696">
        <v>2020</v>
      </c>
      <c r="G720" s="686">
        <v>900000</v>
      </c>
      <c r="H720" s="697">
        <v>0</v>
      </c>
      <c r="I720" s="686">
        <v>900000</v>
      </c>
      <c r="J720" s="684">
        <v>100</v>
      </c>
      <c r="K720" s="671"/>
    </row>
    <row r="721" spans="1:11" ht="36.75" customHeight="1">
      <c r="A721" s="871"/>
      <c r="B721" s="871"/>
      <c r="C721" s="872"/>
      <c r="D721" s="872"/>
      <c r="E721" s="752" t="s">
        <v>1772</v>
      </c>
      <c r="F721" s="696" t="s">
        <v>1770</v>
      </c>
      <c r="G721" s="686">
        <v>36771210</v>
      </c>
      <c r="H721" s="697">
        <v>54.1</v>
      </c>
      <c r="I721" s="686">
        <v>4415679.03</v>
      </c>
      <c r="J721" s="684">
        <v>66.1</v>
      </c>
      <c r="K721" s="671"/>
    </row>
    <row r="722" spans="1:11" ht="30.75">
      <c r="A722" s="871"/>
      <c r="B722" s="871"/>
      <c r="C722" s="872"/>
      <c r="D722" s="872"/>
      <c r="E722" s="752" t="s">
        <v>1773</v>
      </c>
      <c r="F722" s="696" t="s">
        <v>1492</v>
      </c>
      <c r="G722" s="686">
        <v>3326070</v>
      </c>
      <c r="H722" s="697">
        <v>0.8</v>
      </c>
      <c r="I722" s="686">
        <v>50000</v>
      </c>
      <c r="J722" s="684">
        <v>2.5</v>
      </c>
      <c r="K722" s="671"/>
    </row>
    <row r="723" spans="1:11" ht="30.75">
      <c r="A723" s="871"/>
      <c r="B723" s="871"/>
      <c r="C723" s="872"/>
      <c r="D723" s="872"/>
      <c r="E723" s="752" t="s">
        <v>1774</v>
      </c>
      <c r="F723" s="696" t="s">
        <v>1492</v>
      </c>
      <c r="G723" s="686">
        <v>1380250</v>
      </c>
      <c r="H723" s="697">
        <v>61.7</v>
      </c>
      <c r="I723" s="686">
        <v>28662</v>
      </c>
      <c r="J723" s="684">
        <v>63.7</v>
      </c>
      <c r="K723" s="671"/>
    </row>
    <row r="724" spans="1:11" ht="30.75">
      <c r="A724" s="871"/>
      <c r="B724" s="871"/>
      <c r="C724" s="872"/>
      <c r="D724" s="872"/>
      <c r="E724" s="682" t="s">
        <v>1775</v>
      </c>
      <c r="F724" s="696" t="s">
        <v>1229</v>
      </c>
      <c r="G724" s="686">
        <v>601014</v>
      </c>
      <c r="H724" s="697">
        <v>7.9</v>
      </c>
      <c r="I724" s="686">
        <v>587032</v>
      </c>
      <c r="J724" s="684">
        <v>100</v>
      </c>
      <c r="K724" s="671"/>
    </row>
    <row r="725" spans="1:11" ht="30.75">
      <c r="A725" s="871"/>
      <c r="B725" s="871"/>
      <c r="C725" s="872"/>
      <c r="D725" s="872"/>
      <c r="E725" s="682" t="s">
        <v>1776</v>
      </c>
      <c r="F725" s="696">
        <v>2020</v>
      </c>
      <c r="G725" s="686">
        <v>100000</v>
      </c>
      <c r="H725" s="697">
        <v>0</v>
      </c>
      <c r="I725" s="686">
        <v>100000</v>
      </c>
      <c r="J725" s="684">
        <v>100</v>
      </c>
      <c r="K725" s="671"/>
    </row>
    <row r="726" spans="1:11" ht="39" customHeight="1">
      <c r="A726" s="871"/>
      <c r="B726" s="871"/>
      <c r="C726" s="872"/>
      <c r="D726" s="872"/>
      <c r="E726" s="752" t="s">
        <v>1777</v>
      </c>
      <c r="F726" s="696" t="s">
        <v>1378</v>
      </c>
      <c r="G726" s="686">
        <v>16756284</v>
      </c>
      <c r="H726" s="697">
        <v>92.6</v>
      </c>
      <c r="I726" s="686">
        <v>1241860</v>
      </c>
      <c r="J726" s="684">
        <v>100</v>
      </c>
      <c r="K726" s="671"/>
    </row>
    <row r="727" spans="1:11" ht="39" customHeight="1">
      <c r="A727" s="871"/>
      <c r="B727" s="871"/>
      <c r="C727" s="872"/>
      <c r="D727" s="872"/>
      <c r="E727" s="752" t="s">
        <v>1778</v>
      </c>
      <c r="F727" s="696">
        <v>2020</v>
      </c>
      <c r="G727" s="686">
        <v>500000</v>
      </c>
      <c r="H727" s="697">
        <v>0</v>
      </c>
      <c r="I727" s="686">
        <v>500000</v>
      </c>
      <c r="J727" s="684">
        <v>100</v>
      </c>
      <c r="K727" s="671"/>
    </row>
    <row r="728" spans="1:11" ht="30.75">
      <c r="A728" s="871"/>
      <c r="B728" s="871"/>
      <c r="C728" s="872"/>
      <c r="D728" s="872"/>
      <c r="E728" s="752" t="s">
        <v>1779</v>
      </c>
      <c r="F728" s="696" t="s">
        <v>1780</v>
      </c>
      <c r="G728" s="686">
        <v>24330144</v>
      </c>
      <c r="H728" s="697">
        <v>78.5</v>
      </c>
      <c r="I728" s="686">
        <f>1439770-50000</f>
        <v>1389770</v>
      </c>
      <c r="J728" s="684">
        <v>84.2</v>
      </c>
      <c r="K728" s="671"/>
    </row>
    <row r="729" spans="1:11" ht="30.75">
      <c r="A729" s="871"/>
      <c r="B729" s="871"/>
      <c r="C729" s="872"/>
      <c r="D729" s="872"/>
      <c r="E729" s="752" t="s">
        <v>1781</v>
      </c>
      <c r="F729" s="696" t="s">
        <v>1770</v>
      </c>
      <c r="G729" s="686">
        <v>67879002</v>
      </c>
      <c r="H729" s="697">
        <v>66.5</v>
      </c>
      <c r="I729" s="686">
        <v>6015289.85</v>
      </c>
      <c r="J729" s="684">
        <v>75.4</v>
      </c>
      <c r="K729" s="671"/>
    </row>
    <row r="730" spans="1:11" ht="30.75">
      <c r="A730" s="871"/>
      <c r="B730" s="871"/>
      <c r="C730" s="872"/>
      <c r="D730" s="872"/>
      <c r="E730" s="682" t="s">
        <v>1782</v>
      </c>
      <c r="F730" s="696" t="s">
        <v>1229</v>
      </c>
      <c r="G730" s="686">
        <v>945360</v>
      </c>
      <c r="H730" s="697">
        <v>69.7</v>
      </c>
      <c r="I730" s="686">
        <v>869890</v>
      </c>
      <c r="J730" s="684">
        <v>100</v>
      </c>
      <c r="K730" s="671"/>
    </row>
    <row r="731" spans="1:11" ht="30.75">
      <c r="A731" s="871"/>
      <c r="B731" s="871"/>
      <c r="C731" s="872"/>
      <c r="D731" s="872"/>
      <c r="E731" s="752" t="s">
        <v>1783</v>
      </c>
      <c r="F731" s="696" t="s">
        <v>1378</v>
      </c>
      <c r="G731" s="686">
        <v>39292461</v>
      </c>
      <c r="H731" s="697">
        <v>49.1</v>
      </c>
      <c r="I731" s="686">
        <f>20000000-1000000</f>
        <v>19000000</v>
      </c>
      <c r="J731" s="684">
        <v>100</v>
      </c>
      <c r="K731" s="671"/>
    </row>
    <row r="732" spans="1:11" ht="30.75">
      <c r="A732" s="871"/>
      <c r="B732" s="871"/>
      <c r="C732" s="872"/>
      <c r="D732" s="872"/>
      <c r="E732" s="690" t="s">
        <v>1784</v>
      </c>
      <c r="F732" s="696">
        <v>2020</v>
      </c>
      <c r="G732" s="686">
        <v>1306865</v>
      </c>
      <c r="H732" s="697">
        <v>0</v>
      </c>
      <c r="I732" s="686">
        <v>1306865</v>
      </c>
      <c r="J732" s="684">
        <v>100</v>
      </c>
      <c r="K732" s="671"/>
    </row>
    <row r="733" spans="1:11" ht="30.75" hidden="1">
      <c r="A733" s="871"/>
      <c r="B733" s="871"/>
      <c r="C733" s="872"/>
      <c r="D733" s="872"/>
      <c r="E733" s="682" t="s">
        <v>1785</v>
      </c>
      <c r="F733" s="696" t="s">
        <v>1743</v>
      </c>
      <c r="G733" s="686">
        <v>8821426</v>
      </c>
      <c r="H733" s="697">
        <v>76</v>
      </c>
      <c r="I733" s="686"/>
      <c r="J733" s="684">
        <v>77</v>
      </c>
      <c r="K733" s="671"/>
    </row>
    <row r="734" spans="1:11" ht="48.75" customHeight="1">
      <c r="A734" s="871"/>
      <c r="B734" s="871"/>
      <c r="C734" s="872"/>
      <c r="D734" s="872"/>
      <c r="E734" s="682" t="s">
        <v>1786</v>
      </c>
      <c r="F734" s="696">
        <v>2020</v>
      </c>
      <c r="G734" s="686">
        <v>450000</v>
      </c>
      <c r="H734" s="697">
        <v>0</v>
      </c>
      <c r="I734" s="686">
        <v>450000</v>
      </c>
      <c r="J734" s="684">
        <v>100</v>
      </c>
      <c r="K734" s="671"/>
    </row>
    <row r="735" spans="1:11" ht="30.75">
      <c r="A735" s="871"/>
      <c r="B735" s="871"/>
      <c r="C735" s="872"/>
      <c r="D735" s="872"/>
      <c r="E735" s="682" t="s">
        <v>1787</v>
      </c>
      <c r="F735" s="696" t="s">
        <v>1288</v>
      </c>
      <c r="G735" s="686">
        <v>1047000</v>
      </c>
      <c r="H735" s="697">
        <v>6.9</v>
      </c>
      <c r="I735" s="686">
        <v>1047000</v>
      </c>
      <c r="J735" s="684">
        <v>100</v>
      </c>
      <c r="K735" s="671"/>
    </row>
    <row r="736" spans="1:11" ht="30.75">
      <c r="A736" s="871"/>
      <c r="B736" s="871"/>
      <c r="C736" s="872"/>
      <c r="D736" s="872"/>
      <c r="E736" s="752" t="s">
        <v>1788</v>
      </c>
      <c r="F736" s="696" t="s">
        <v>1789</v>
      </c>
      <c r="G736" s="686">
        <v>28030038</v>
      </c>
      <c r="H736" s="697">
        <v>0.9</v>
      </c>
      <c r="I736" s="713">
        <f>6625000-5000000+7000000-1000000</f>
        <v>7625000</v>
      </c>
      <c r="J736" s="684">
        <v>28.1</v>
      </c>
      <c r="K736" s="671"/>
    </row>
    <row r="737" spans="1:11" ht="30.75">
      <c r="A737" s="871"/>
      <c r="B737" s="871"/>
      <c r="C737" s="872"/>
      <c r="D737" s="872"/>
      <c r="E737" s="752" t="s">
        <v>1790</v>
      </c>
      <c r="F737" s="696" t="s">
        <v>1288</v>
      </c>
      <c r="G737" s="686">
        <v>1353401.44</v>
      </c>
      <c r="H737" s="697">
        <v>51.7</v>
      </c>
      <c r="I737" s="686">
        <v>653455</v>
      </c>
      <c r="J737" s="684">
        <v>100</v>
      </c>
      <c r="K737" s="671"/>
    </row>
    <row r="738" spans="1:11" ht="15">
      <c r="A738" s="871"/>
      <c r="B738" s="871"/>
      <c r="C738" s="872"/>
      <c r="D738" s="872"/>
      <c r="E738" s="752" t="s">
        <v>1791</v>
      </c>
      <c r="F738" s="696" t="s">
        <v>1789</v>
      </c>
      <c r="G738" s="686">
        <v>60111755</v>
      </c>
      <c r="H738" s="697">
        <v>86.8</v>
      </c>
      <c r="I738" s="686">
        <v>120000</v>
      </c>
      <c r="J738" s="684">
        <v>87</v>
      </c>
      <c r="K738" s="671"/>
    </row>
    <row r="739" spans="1:11" ht="30.75">
      <c r="A739" s="871"/>
      <c r="B739" s="871"/>
      <c r="C739" s="872"/>
      <c r="D739" s="872"/>
      <c r="E739" s="690" t="s">
        <v>1792</v>
      </c>
      <c r="F739" s="696">
        <v>2020</v>
      </c>
      <c r="G739" s="686">
        <v>1098615</v>
      </c>
      <c r="H739" s="697">
        <v>0</v>
      </c>
      <c r="I739" s="686">
        <v>1098615</v>
      </c>
      <c r="J739" s="684">
        <v>100</v>
      </c>
      <c r="K739" s="671"/>
    </row>
    <row r="740" spans="1:11" ht="30.75">
      <c r="A740" s="871"/>
      <c r="B740" s="871"/>
      <c r="C740" s="872"/>
      <c r="D740" s="872"/>
      <c r="E740" s="682" t="s">
        <v>1793</v>
      </c>
      <c r="F740" s="696" t="s">
        <v>1766</v>
      </c>
      <c r="G740" s="686">
        <v>59334667</v>
      </c>
      <c r="H740" s="697">
        <v>16.7</v>
      </c>
      <c r="I740" s="686">
        <f>20000000-1000000</f>
        <v>19000000</v>
      </c>
      <c r="J740" s="684">
        <v>50.4</v>
      </c>
      <c r="K740" s="671"/>
    </row>
    <row r="741" spans="1:11" ht="40.5" customHeight="1">
      <c r="A741" s="871"/>
      <c r="B741" s="871"/>
      <c r="C741" s="872"/>
      <c r="D741" s="872"/>
      <c r="E741" s="682" t="s">
        <v>1794</v>
      </c>
      <c r="F741" s="696" t="s">
        <v>1492</v>
      </c>
      <c r="G741" s="686">
        <v>12530000</v>
      </c>
      <c r="H741" s="697">
        <v>3.4</v>
      </c>
      <c r="I741" s="686">
        <v>1202852</v>
      </c>
      <c r="J741" s="684">
        <v>13</v>
      </c>
      <c r="K741" s="671"/>
    </row>
    <row r="742" spans="1:11" ht="46.5">
      <c r="A742" s="871"/>
      <c r="B742" s="871"/>
      <c r="C742" s="872"/>
      <c r="D742" s="872"/>
      <c r="E742" s="752" t="s">
        <v>1795</v>
      </c>
      <c r="F742" s="696" t="s">
        <v>1796</v>
      </c>
      <c r="G742" s="686">
        <v>8605332</v>
      </c>
      <c r="H742" s="697">
        <v>87.2</v>
      </c>
      <c r="I742" s="686">
        <v>188517.54</v>
      </c>
      <c r="J742" s="684">
        <v>88.9</v>
      </c>
      <c r="K742" s="671"/>
    </row>
    <row r="743" spans="1:11" ht="46.5">
      <c r="A743" s="871"/>
      <c r="B743" s="871"/>
      <c r="C743" s="872"/>
      <c r="D743" s="872"/>
      <c r="E743" s="752" t="s">
        <v>1797</v>
      </c>
      <c r="F743" s="696" t="s">
        <v>1796</v>
      </c>
      <c r="G743" s="686">
        <v>25513226</v>
      </c>
      <c r="H743" s="697">
        <v>87</v>
      </c>
      <c r="I743" s="686">
        <v>1334316.4</v>
      </c>
      <c r="J743" s="684">
        <v>87.6</v>
      </c>
      <c r="K743" s="671"/>
    </row>
    <row r="744" spans="1:11" ht="48" customHeight="1">
      <c r="A744" s="871"/>
      <c r="B744" s="871"/>
      <c r="C744" s="872"/>
      <c r="D744" s="872"/>
      <c r="E744" s="752" t="s">
        <v>1798</v>
      </c>
      <c r="F744" s="696" t="s">
        <v>1796</v>
      </c>
      <c r="G744" s="686">
        <v>8093029</v>
      </c>
      <c r="H744" s="697">
        <v>93.2</v>
      </c>
      <c r="I744" s="686">
        <v>119695.6</v>
      </c>
      <c r="J744" s="684">
        <v>94.6</v>
      </c>
      <c r="K744" s="671"/>
    </row>
    <row r="745" spans="1:11" ht="46.5">
      <c r="A745" s="871"/>
      <c r="B745" s="871"/>
      <c r="C745" s="872"/>
      <c r="D745" s="872"/>
      <c r="E745" s="659" t="s">
        <v>1799</v>
      </c>
      <c r="F745" s="660" t="s">
        <v>1780</v>
      </c>
      <c r="G745" s="747">
        <v>23454305</v>
      </c>
      <c r="H745" s="661">
        <v>70.4</v>
      </c>
      <c r="I745" s="662">
        <v>4018084.68</v>
      </c>
      <c r="J745" s="684">
        <v>87.5</v>
      </c>
      <c r="K745" s="671"/>
    </row>
    <row r="746" spans="1:11" ht="46.5">
      <c r="A746" s="871"/>
      <c r="B746" s="871"/>
      <c r="C746" s="872"/>
      <c r="D746" s="872"/>
      <c r="E746" s="751" t="s">
        <v>1800</v>
      </c>
      <c r="F746" s="660" t="s">
        <v>1789</v>
      </c>
      <c r="G746" s="747">
        <v>30386530</v>
      </c>
      <c r="H746" s="661">
        <v>51.9</v>
      </c>
      <c r="I746" s="662">
        <v>6572376.13</v>
      </c>
      <c r="J746" s="684">
        <v>73.5</v>
      </c>
      <c r="K746" s="671"/>
    </row>
    <row r="747" spans="1:11" ht="46.5">
      <c r="A747" s="871"/>
      <c r="B747" s="871"/>
      <c r="C747" s="872"/>
      <c r="D747" s="872"/>
      <c r="E747" s="751" t="s">
        <v>1801</v>
      </c>
      <c r="F747" s="660" t="s">
        <v>1789</v>
      </c>
      <c r="G747" s="747">
        <v>35599490</v>
      </c>
      <c r="H747" s="661">
        <v>74.7</v>
      </c>
      <c r="I747" s="662">
        <v>6777200</v>
      </c>
      <c r="J747" s="684">
        <v>93.7</v>
      </c>
      <c r="K747" s="671"/>
    </row>
    <row r="748" spans="1:11" ht="15">
      <c r="A748" s="871"/>
      <c r="B748" s="871"/>
      <c r="C748" s="872"/>
      <c r="D748" s="872"/>
      <c r="E748" s="735" t="s">
        <v>1802</v>
      </c>
      <c r="F748" s="660" t="s">
        <v>1789</v>
      </c>
      <c r="G748" s="747">
        <v>57094847</v>
      </c>
      <c r="H748" s="661">
        <v>2.5</v>
      </c>
      <c r="I748" s="713">
        <f>3000000-1000000</f>
        <v>2000000</v>
      </c>
      <c r="J748" s="684">
        <v>6</v>
      </c>
      <c r="K748" s="671"/>
    </row>
    <row r="749" spans="1:11" ht="30.75">
      <c r="A749" s="871"/>
      <c r="B749" s="871"/>
      <c r="C749" s="872"/>
      <c r="D749" s="872"/>
      <c r="E749" s="672" t="s">
        <v>1803</v>
      </c>
      <c r="F749" s="660" t="s">
        <v>1266</v>
      </c>
      <c r="G749" s="747">
        <v>1000000</v>
      </c>
      <c r="H749" s="661">
        <v>0</v>
      </c>
      <c r="I749" s="662">
        <v>453107</v>
      </c>
      <c r="J749" s="684">
        <v>45.3</v>
      </c>
      <c r="K749" s="671"/>
    </row>
    <row r="750" spans="1:11" ht="15">
      <c r="A750" s="871" t="s">
        <v>507</v>
      </c>
      <c r="B750" s="871" t="s">
        <v>506</v>
      </c>
      <c r="C750" s="871" t="s">
        <v>411</v>
      </c>
      <c r="D750" s="873" t="s">
        <v>508</v>
      </c>
      <c r="E750" s="685"/>
      <c r="F750" s="99"/>
      <c r="G750" s="733"/>
      <c r="H750" s="678"/>
      <c r="I750" s="674">
        <f>I751</f>
        <v>50000</v>
      </c>
      <c r="J750" s="684"/>
      <c r="K750" s="671"/>
    </row>
    <row r="751" spans="1:11" ht="46.5">
      <c r="A751" s="871"/>
      <c r="B751" s="871"/>
      <c r="C751" s="871"/>
      <c r="D751" s="873"/>
      <c r="E751" s="690" t="s">
        <v>1804</v>
      </c>
      <c r="F751" s="696"/>
      <c r="G751" s="686"/>
      <c r="H751" s="697"/>
      <c r="I751" s="686">
        <v>50000</v>
      </c>
      <c r="J751" s="684"/>
      <c r="K751" s="671"/>
    </row>
    <row r="752" spans="1:11" ht="15">
      <c r="A752" s="871" t="s">
        <v>509</v>
      </c>
      <c r="B752" s="871" t="s">
        <v>510</v>
      </c>
      <c r="C752" s="871" t="s">
        <v>511</v>
      </c>
      <c r="D752" s="872" t="s">
        <v>512</v>
      </c>
      <c r="E752" s="685"/>
      <c r="F752" s="99"/>
      <c r="G752" s="733"/>
      <c r="H752" s="678"/>
      <c r="I752" s="674">
        <f>I753</f>
        <v>350000</v>
      </c>
      <c r="J752" s="684"/>
      <c r="K752" s="671"/>
    </row>
    <row r="753" spans="1:11" ht="30.75">
      <c r="A753" s="871"/>
      <c r="B753" s="871"/>
      <c r="C753" s="871"/>
      <c r="D753" s="872"/>
      <c r="E753" s="659" t="s">
        <v>1805</v>
      </c>
      <c r="F753" s="660">
        <v>2020</v>
      </c>
      <c r="G753" s="747">
        <v>350000</v>
      </c>
      <c r="H753" s="753">
        <v>0</v>
      </c>
      <c r="I753" s="662">
        <v>350000</v>
      </c>
      <c r="J753" s="684">
        <v>100</v>
      </c>
      <c r="K753" s="671"/>
    </row>
    <row r="754" spans="1:11" ht="15">
      <c r="A754" s="871" t="s">
        <v>633</v>
      </c>
      <c r="B754" s="870" t="s">
        <v>1420</v>
      </c>
      <c r="C754" s="870" t="s">
        <v>106</v>
      </c>
      <c r="D754" s="869" t="s">
        <v>606</v>
      </c>
      <c r="E754" s="685"/>
      <c r="F754" s="166"/>
      <c r="G754" s="726"/>
      <c r="H754" s="673"/>
      <c r="I754" s="674">
        <f>I755</f>
        <v>8000000</v>
      </c>
      <c r="J754" s="684"/>
      <c r="K754" s="671"/>
    </row>
    <row r="755" spans="1:11" ht="102" customHeight="1">
      <c r="A755" s="871"/>
      <c r="B755" s="870"/>
      <c r="C755" s="870"/>
      <c r="D755" s="869"/>
      <c r="E755" s="682" t="s">
        <v>254</v>
      </c>
      <c r="F755" s="696"/>
      <c r="G755" s="686"/>
      <c r="H755" s="697"/>
      <c r="I755" s="686">
        <v>8000000</v>
      </c>
      <c r="J755" s="684"/>
      <c r="K755" s="671"/>
    </row>
    <row r="756" spans="1:10" ht="15" hidden="1">
      <c r="A756" s="748"/>
      <c r="B756" s="748"/>
      <c r="C756" s="748"/>
      <c r="D756" s="749"/>
      <c r="E756" s="659"/>
      <c r="F756" s="660"/>
      <c r="G756" s="747"/>
      <c r="H756" s="753"/>
      <c r="I756" s="662"/>
      <c r="J756" s="684"/>
    </row>
    <row r="757" spans="1:10" ht="30.75" hidden="1">
      <c r="A757" s="754" t="s">
        <v>371</v>
      </c>
      <c r="B757" s="754"/>
      <c r="C757" s="754"/>
      <c r="D757" s="755" t="s">
        <v>398</v>
      </c>
      <c r="E757" s="649"/>
      <c r="F757" s="649"/>
      <c r="G757" s="649"/>
      <c r="H757" s="650"/>
      <c r="I757" s="651">
        <f>I758</f>
        <v>0</v>
      </c>
      <c r="J757" s="652"/>
    </row>
    <row r="758" spans="1:10" ht="30.75" hidden="1">
      <c r="A758" s="754" t="s">
        <v>578</v>
      </c>
      <c r="B758" s="754"/>
      <c r="C758" s="754"/>
      <c r="D758" s="755" t="s">
        <v>398</v>
      </c>
      <c r="E758" s="649"/>
      <c r="F758" s="649"/>
      <c r="G758" s="649"/>
      <c r="H758" s="650"/>
      <c r="I758" s="651">
        <f>I759</f>
        <v>0</v>
      </c>
      <c r="J758" s="652"/>
    </row>
    <row r="759" spans="1:10" s="732" customFormat="1" ht="15" hidden="1">
      <c r="A759" s="870" t="s">
        <v>579</v>
      </c>
      <c r="B759" s="870" t="s">
        <v>367</v>
      </c>
      <c r="C759" s="870" t="s">
        <v>105</v>
      </c>
      <c r="D759" s="869" t="s">
        <v>360</v>
      </c>
      <c r="E759" s="685"/>
      <c r="F759" s="166"/>
      <c r="G759" s="726"/>
      <c r="H759" s="673"/>
      <c r="I759" s="674">
        <f>I760</f>
        <v>0</v>
      </c>
      <c r="J759" s="727"/>
    </row>
    <row r="760" spans="1:10" s="732" customFormat="1" ht="15" hidden="1">
      <c r="A760" s="870"/>
      <c r="B760" s="870"/>
      <c r="C760" s="870"/>
      <c r="D760" s="869"/>
      <c r="E760" s="685"/>
      <c r="F760" s="166"/>
      <c r="G760" s="726"/>
      <c r="H760" s="673"/>
      <c r="I760" s="166"/>
      <c r="J760" s="727"/>
    </row>
    <row r="761" spans="1:10" ht="30.75" hidden="1">
      <c r="A761" s="754" t="s">
        <v>385</v>
      </c>
      <c r="B761" s="754"/>
      <c r="C761" s="754"/>
      <c r="D761" s="755" t="s">
        <v>388</v>
      </c>
      <c r="E761" s="756"/>
      <c r="F761" s="756"/>
      <c r="G761" s="756"/>
      <c r="H761" s="757"/>
      <c r="I761" s="651">
        <f>I762</f>
        <v>0</v>
      </c>
      <c r="J761" s="758"/>
    </row>
    <row r="762" spans="1:10" ht="30.75" hidden="1">
      <c r="A762" s="754" t="s">
        <v>386</v>
      </c>
      <c r="B762" s="754"/>
      <c r="C762" s="754"/>
      <c r="D762" s="755" t="s">
        <v>388</v>
      </c>
      <c r="E762" s="756"/>
      <c r="F762" s="756"/>
      <c r="G762" s="756"/>
      <c r="H762" s="757"/>
      <c r="I762" s="651">
        <f>I763+I765</f>
        <v>0</v>
      </c>
      <c r="J762" s="758"/>
    </row>
    <row r="763" spans="1:10" s="732" customFormat="1" ht="15" hidden="1">
      <c r="A763" s="870" t="s">
        <v>387</v>
      </c>
      <c r="B763" s="870" t="s">
        <v>367</v>
      </c>
      <c r="C763" s="870" t="s">
        <v>1806</v>
      </c>
      <c r="D763" s="869" t="s">
        <v>360</v>
      </c>
      <c r="E763" s="682"/>
      <c r="F763" s="166"/>
      <c r="G763" s="726"/>
      <c r="H763" s="673"/>
      <c r="I763" s="674">
        <f>SUM(I764:I764)</f>
        <v>0</v>
      </c>
      <c r="J763" s="727"/>
    </row>
    <row r="764" spans="1:10" s="732" customFormat="1" ht="15" hidden="1">
      <c r="A764" s="870"/>
      <c r="B764" s="870"/>
      <c r="C764" s="870"/>
      <c r="D764" s="869"/>
      <c r="E764" s="682"/>
      <c r="F764" s="166"/>
      <c r="G764" s="726"/>
      <c r="H764" s="673"/>
      <c r="I764" s="686"/>
      <c r="J764" s="727"/>
    </row>
    <row r="765" spans="1:10" ht="15" hidden="1">
      <c r="A765" s="870" t="s">
        <v>211</v>
      </c>
      <c r="B765" s="870" t="s">
        <v>213</v>
      </c>
      <c r="C765" s="870" t="s">
        <v>758</v>
      </c>
      <c r="D765" s="869" t="s">
        <v>212</v>
      </c>
      <c r="E765" s="682"/>
      <c r="F765" s="166"/>
      <c r="G765" s="726"/>
      <c r="H765" s="673"/>
      <c r="I765" s="674">
        <f>I766+I767</f>
        <v>0</v>
      </c>
      <c r="J765" s="727"/>
    </row>
    <row r="766" spans="1:10" ht="46.5" hidden="1">
      <c r="A766" s="870"/>
      <c r="B766" s="870"/>
      <c r="C766" s="870"/>
      <c r="D766" s="869"/>
      <c r="E766" s="682" t="s">
        <v>1807</v>
      </c>
      <c r="F766" s="759"/>
      <c r="G766" s="166"/>
      <c r="H766" s="673">
        <v>1.9</v>
      </c>
      <c r="I766" s="166"/>
      <c r="J766" s="727">
        <v>50</v>
      </c>
    </row>
    <row r="767" spans="1:10" ht="46.5" hidden="1">
      <c r="A767" s="870"/>
      <c r="B767" s="870"/>
      <c r="C767" s="870"/>
      <c r="D767" s="869"/>
      <c r="E767" s="682" t="s">
        <v>1808</v>
      </c>
      <c r="F767" s="759"/>
      <c r="G767" s="166"/>
      <c r="H767" s="673">
        <v>0</v>
      </c>
      <c r="I767" s="166"/>
      <c r="J767" s="727">
        <v>100</v>
      </c>
    </row>
    <row r="768" spans="1:10" s="762" customFormat="1" ht="15">
      <c r="A768" s="663" t="s">
        <v>364</v>
      </c>
      <c r="B768" s="664"/>
      <c r="C768" s="665"/>
      <c r="D768" s="649" t="s">
        <v>1809</v>
      </c>
      <c r="E768" s="666"/>
      <c r="F768" s="666"/>
      <c r="G768" s="666"/>
      <c r="H768" s="666"/>
      <c r="I768" s="760">
        <f>I769</f>
        <v>6926052.49</v>
      </c>
      <c r="J768" s="761"/>
    </row>
    <row r="769" spans="1:10" s="762" customFormat="1" ht="15">
      <c r="A769" s="663" t="s">
        <v>365</v>
      </c>
      <c r="B769" s="664"/>
      <c r="C769" s="665"/>
      <c r="D769" s="649" t="s">
        <v>1809</v>
      </c>
      <c r="E769" s="666"/>
      <c r="F769" s="666"/>
      <c r="G769" s="666"/>
      <c r="H769" s="666"/>
      <c r="I769" s="760">
        <f>I772+I782+I780+I770</f>
        <v>6926052.49</v>
      </c>
      <c r="J769" s="761"/>
    </row>
    <row r="770" spans="1:10" s="762" customFormat="1" ht="15" hidden="1">
      <c r="A770" s="867" t="s">
        <v>366</v>
      </c>
      <c r="B770" s="867" t="s">
        <v>367</v>
      </c>
      <c r="C770" s="867" t="s">
        <v>105</v>
      </c>
      <c r="D770" s="868" t="s">
        <v>360</v>
      </c>
      <c r="E770" s="672"/>
      <c r="F770" s="672"/>
      <c r="G770" s="672"/>
      <c r="H770" s="672"/>
      <c r="I770" s="763">
        <f>I771</f>
        <v>0</v>
      </c>
      <c r="J770" s="764"/>
    </row>
    <row r="771" spans="1:10" s="762" customFormat="1" ht="15" hidden="1">
      <c r="A771" s="867"/>
      <c r="B771" s="867"/>
      <c r="C771" s="867"/>
      <c r="D771" s="868"/>
      <c r="E771" s="672" t="s">
        <v>1810</v>
      </c>
      <c r="F771" s="765">
        <v>2020</v>
      </c>
      <c r="G771" s="686">
        <v>1000000</v>
      </c>
      <c r="H771" s="697">
        <v>0</v>
      </c>
      <c r="I771" s="686">
        <f>1000000-1000000</f>
        <v>0</v>
      </c>
      <c r="J771" s="684">
        <v>100</v>
      </c>
    </row>
    <row r="772" spans="1:10" s="762" customFormat="1" ht="15">
      <c r="A772" s="869">
        <v>2717330</v>
      </c>
      <c r="B772" s="869">
        <v>7330</v>
      </c>
      <c r="C772" s="870" t="s">
        <v>758</v>
      </c>
      <c r="D772" s="869" t="s">
        <v>212</v>
      </c>
      <c r="E772" s="682"/>
      <c r="F772" s="765"/>
      <c r="G772" s="686"/>
      <c r="H772" s="697"/>
      <c r="I772" s="657">
        <f>SUM(I773:I779)</f>
        <v>4759660.07</v>
      </c>
      <c r="J772" s="684"/>
    </row>
    <row r="773" spans="1:10" s="762" customFormat="1" ht="30.75">
      <c r="A773" s="869"/>
      <c r="B773" s="869"/>
      <c r="C773" s="870"/>
      <c r="D773" s="869"/>
      <c r="E773" s="690" t="s">
        <v>1811</v>
      </c>
      <c r="F773" s="737" t="s">
        <v>1229</v>
      </c>
      <c r="G773" s="662">
        <v>1441526.7</v>
      </c>
      <c r="H773" s="753">
        <v>55.1</v>
      </c>
      <c r="I773" s="686">
        <v>793769.07</v>
      </c>
      <c r="J773" s="684">
        <v>100</v>
      </c>
    </row>
    <row r="774" spans="1:10" s="762" customFormat="1" ht="46.5">
      <c r="A774" s="869"/>
      <c r="B774" s="869"/>
      <c r="C774" s="870"/>
      <c r="D774" s="869"/>
      <c r="E774" s="682" t="s">
        <v>1812</v>
      </c>
      <c r="F774" s="765" t="s">
        <v>1266</v>
      </c>
      <c r="G774" s="686">
        <v>1300000</v>
      </c>
      <c r="H774" s="697">
        <v>0</v>
      </c>
      <c r="I774" s="686">
        <v>1200000</v>
      </c>
      <c r="J774" s="684">
        <v>92.4</v>
      </c>
    </row>
    <row r="775" spans="1:10" s="762" customFormat="1" ht="46.5">
      <c r="A775" s="869"/>
      <c r="B775" s="869"/>
      <c r="C775" s="870"/>
      <c r="D775" s="869"/>
      <c r="E775" s="682" t="s">
        <v>1813</v>
      </c>
      <c r="F775" s="765" t="s">
        <v>1266</v>
      </c>
      <c r="G775" s="686">
        <v>1500000</v>
      </c>
      <c r="H775" s="697">
        <v>0</v>
      </c>
      <c r="I775" s="713">
        <f>1400000</f>
        <v>1400000</v>
      </c>
      <c r="J775" s="684">
        <v>93.3</v>
      </c>
    </row>
    <row r="776" spans="1:10" s="762" customFormat="1" ht="30.75">
      <c r="A776" s="869"/>
      <c r="B776" s="869"/>
      <c r="C776" s="870"/>
      <c r="D776" s="869"/>
      <c r="E776" s="766" t="s">
        <v>1814</v>
      </c>
      <c r="F776" s="767" t="s">
        <v>1266</v>
      </c>
      <c r="G776" s="662">
        <v>100000</v>
      </c>
      <c r="H776" s="753">
        <v>0</v>
      </c>
      <c r="I776" s="662">
        <v>53163</v>
      </c>
      <c r="J776" s="679">
        <v>53.2</v>
      </c>
    </row>
    <row r="777" spans="1:10" s="762" customFormat="1" ht="30.75">
      <c r="A777" s="869"/>
      <c r="B777" s="869"/>
      <c r="C777" s="870"/>
      <c r="D777" s="869"/>
      <c r="E777" s="690" t="s">
        <v>1815</v>
      </c>
      <c r="F777" s="765" t="s">
        <v>1266</v>
      </c>
      <c r="G777" s="686">
        <v>1000000</v>
      </c>
      <c r="H777" s="697">
        <v>0</v>
      </c>
      <c r="I777" s="713">
        <f>1000000-970000</f>
        <v>30000</v>
      </c>
      <c r="J777" s="679">
        <v>3</v>
      </c>
    </row>
    <row r="778" spans="1:10" s="762" customFormat="1" ht="51.75" customHeight="1">
      <c r="A778" s="869"/>
      <c r="B778" s="869"/>
      <c r="C778" s="870"/>
      <c r="D778" s="869"/>
      <c r="E778" s="681" t="s">
        <v>1816</v>
      </c>
      <c r="F778" s="767" t="s">
        <v>1266</v>
      </c>
      <c r="G778" s="662">
        <v>5237290.37</v>
      </c>
      <c r="H778" s="753">
        <v>0</v>
      </c>
      <c r="I778" s="686">
        <v>1282728</v>
      </c>
      <c r="J778" s="679">
        <f>I778/G778*100</f>
        <v>24.492207026512453</v>
      </c>
    </row>
    <row r="779" spans="1:10" s="762" customFormat="1" ht="15" customHeight="1" hidden="1">
      <c r="A779" s="869"/>
      <c r="B779" s="869"/>
      <c r="C779" s="870"/>
      <c r="D779" s="869"/>
      <c r="E779" s="768"/>
      <c r="F779" s="765"/>
      <c r="G779" s="686"/>
      <c r="H779" s="697"/>
      <c r="I779" s="686"/>
      <c r="J779" s="684"/>
    </row>
    <row r="780" spans="1:10" s="762" customFormat="1" ht="15" customHeight="1" hidden="1">
      <c r="A780" s="870" t="s">
        <v>316</v>
      </c>
      <c r="B780" s="870" t="s">
        <v>317</v>
      </c>
      <c r="C780" s="869" t="s">
        <v>411</v>
      </c>
      <c r="D780" s="869" t="s">
        <v>15</v>
      </c>
      <c r="E780" s="672"/>
      <c r="F780" s="166"/>
      <c r="G780" s="726"/>
      <c r="H780" s="673"/>
      <c r="I780" s="674">
        <f>SUM(I781:I781)</f>
        <v>0</v>
      </c>
      <c r="J780" s="727"/>
    </row>
    <row r="781" spans="1:10" s="762" customFormat="1" ht="30.75" hidden="1">
      <c r="A781" s="870"/>
      <c r="B781" s="870"/>
      <c r="C781" s="869"/>
      <c r="D781" s="869"/>
      <c r="E781" s="681" t="s">
        <v>1816</v>
      </c>
      <c r="F781" s="769"/>
      <c r="G781" s="662"/>
      <c r="H781" s="753"/>
      <c r="I781" s="662"/>
      <c r="J781" s="679"/>
    </row>
    <row r="782" spans="1:10" s="762" customFormat="1" ht="15">
      <c r="A782" s="867" t="s">
        <v>666</v>
      </c>
      <c r="B782" s="867" t="s">
        <v>499</v>
      </c>
      <c r="C782" s="867" t="s">
        <v>411</v>
      </c>
      <c r="D782" s="868" t="s">
        <v>500</v>
      </c>
      <c r="E782" s="672"/>
      <c r="F782" s="166"/>
      <c r="G782" s="726"/>
      <c r="H782" s="673"/>
      <c r="I782" s="674">
        <f>I783</f>
        <v>2166392.42</v>
      </c>
      <c r="J782" s="727"/>
    </row>
    <row r="783" spans="1:10" s="762" customFormat="1" ht="15">
      <c r="A783" s="867"/>
      <c r="B783" s="867"/>
      <c r="C783" s="867"/>
      <c r="D783" s="868"/>
      <c r="E783" s="770" t="s">
        <v>1817</v>
      </c>
      <c r="F783" s="166"/>
      <c r="G783" s="726"/>
      <c r="H783" s="673"/>
      <c r="I783" s="674">
        <f>SUM(I784:I792)</f>
        <v>2166392.42</v>
      </c>
      <c r="J783" s="727"/>
    </row>
    <row r="784" spans="1:10" s="762" customFormat="1" ht="46.5" hidden="1">
      <c r="A784" s="867"/>
      <c r="B784" s="867"/>
      <c r="C784" s="867"/>
      <c r="D784" s="868"/>
      <c r="E784" s="690" t="s">
        <v>1818</v>
      </c>
      <c r="F784" s="771"/>
      <c r="G784" s="686"/>
      <c r="H784" s="697"/>
      <c r="I784" s="686"/>
      <c r="J784" s="684"/>
    </row>
    <row r="785" spans="1:10" s="762" customFormat="1" ht="46.5">
      <c r="A785" s="867"/>
      <c r="B785" s="867"/>
      <c r="C785" s="867"/>
      <c r="D785" s="868"/>
      <c r="E785" s="690" t="s">
        <v>1819</v>
      </c>
      <c r="F785" s="769"/>
      <c r="G785" s="662"/>
      <c r="H785" s="753"/>
      <c r="I785" s="686">
        <v>4100</v>
      </c>
      <c r="J785" s="684"/>
    </row>
    <row r="786" spans="1:10" s="762" customFormat="1" ht="30.75" hidden="1">
      <c r="A786" s="867"/>
      <c r="B786" s="867"/>
      <c r="C786" s="867"/>
      <c r="D786" s="868"/>
      <c r="E786" s="690" t="s">
        <v>1820</v>
      </c>
      <c r="F786" s="771"/>
      <c r="G786" s="686"/>
      <c r="H786" s="697"/>
      <c r="I786" s="686"/>
      <c r="J786" s="684"/>
    </row>
    <row r="787" spans="1:10" s="762" customFormat="1" ht="46.5">
      <c r="A787" s="867"/>
      <c r="B787" s="867"/>
      <c r="C787" s="867"/>
      <c r="D787" s="868"/>
      <c r="E787" s="690" t="s">
        <v>1821</v>
      </c>
      <c r="F787" s="769" t="s">
        <v>1229</v>
      </c>
      <c r="G787" s="662">
        <v>5300000</v>
      </c>
      <c r="H787" s="753">
        <v>69</v>
      </c>
      <c r="I787" s="686">
        <v>1616881.92</v>
      </c>
      <c r="J787" s="684">
        <v>100</v>
      </c>
    </row>
    <row r="788" spans="1:10" s="762" customFormat="1" ht="46.5">
      <c r="A788" s="867"/>
      <c r="B788" s="867"/>
      <c r="C788" s="867"/>
      <c r="D788" s="868"/>
      <c r="E788" s="690" t="s">
        <v>1822</v>
      </c>
      <c r="F788" s="771" t="s">
        <v>1229</v>
      </c>
      <c r="G788" s="686">
        <v>390000</v>
      </c>
      <c r="H788" s="697">
        <v>1.5</v>
      </c>
      <c r="I788" s="686">
        <v>384060</v>
      </c>
      <c r="J788" s="684">
        <v>100</v>
      </c>
    </row>
    <row r="789" spans="1:10" s="762" customFormat="1" ht="30.75">
      <c r="A789" s="867"/>
      <c r="B789" s="867"/>
      <c r="C789" s="867"/>
      <c r="D789" s="868"/>
      <c r="E789" s="690" t="s">
        <v>1823</v>
      </c>
      <c r="F789" s="771" t="s">
        <v>1229</v>
      </c>
      <c r="G789" s="686">
        <v>120000</v>
      </c>
      <c r="H789" s="697">
        <v>98.9</v>
      </c>
      <c r="I789" s="686">
        <v>1350.5</v>
      </c>
      <c r="J789" s="684">
        <v>100</v>
      </c>
    </row>
    <row r="790" spans="1:10" s="762" customFormat="1" ht="30.75" hidden="1">
      <c r="A790" s="867"/>
      <c r="B790" s="867"/>
      <c r="C790" s="867"/>
      <c r="D790" s="868"/>
      <c r="E790" s="690" t="s">
        <v>1824</v>
      </c>
      <c r="F790" s="765">
        <v>2020</v>
      </c>
      <c r="G790" s="686">
        <v>120000</v>
      </c>
      <c r="H790" s="697">
        <v>0</v>
      </c>
      <c r="I790" s="686"/>
      <c r="J790" s="684">
        <v>100</v>
      </c>
    </row>
    <row r="791" spans="1:10" s="762" customFormat="1" ht="15">
      <c r="A791" s="867"/>
      <c r="B791" s="867"/>
      <c r="C791" s="867"/>
      <c r="D791" s="868"/>
      <c r="E791" s="690" t="s">
        <v>1825</v>
      </c>
      <c r="F791" s="765" t="s">
        <v>1266</v>
      </c>
      <c r="G791" s="686">
        <v>1480000</v>
      </c>
      <c r="H791" s="697">
        <v>0</v>
      </c>
      <c r="I791" s="701">
        <f>1480000-1380000</f>
        <v>100000</v>
      </c>
      <c r="J791" s="727">
        <v>6.8</v>
      </c>
    </row>
    <row r="792" spans="1:10" s="762" customFormat="1" ht="30.75">
      <c r="A792" s="867"/>
      <c r="B792" s="867"/>
      <c r="C792" s="867"/>
      <c r="D792" s="868"/>
      <c r="E792" s="690" t="s">
        <v>1826</v>
      </c>
      <c r="F792" s="771"/>
      <c r="G792" s="686"/>
      <c r="H792" s="697"/>
      <c r="I792" s="686">
        <v>60000</v>
      </c>
      <c r="J792" s="684"/>
    </row>
    <row r="793" spans="1:10" s="762" customFormat="1" ht="30.75">
      <c r="A793" s="772" t="s">
        <v>389</v>
      </c>
      <c r="B793" s="772"/>
      <c r="C793" s="772"/>
      <c r="D793" s="773" t="s">
        <v>391</v>
      </c>
      <c r="E793" s="666"/>
      <c r="F793" s="666"/>
      <c r="G793" s="666"/>
      <c r="H793" s="666"/>
      <c r="I793" s="774">
        <f>I794</f>
        <v>654818</v>
      </c>
      <c r="J793" s="761"/>
    </row>
    <row r="794" spans="1:10" ht="30.75">
      <c r="A794" s="772" t="s">
        <v>390</v>
      </c>
      <c r="B794" s="772"/>
      <c r="C794" s="772"/>
      <c r="D794" s="773" t="s">
        <v>391</v>
      </c>
      <c r="E794" s="666"/>
      <c r="F794" s="666"/>
      <c r="G794" s="666"/>
      <c r="H794" s="666"/>
      <c r="I794" s="774">
        <f>I795</f>
        <v>654818</v>
      </c>
      <c r="J794" s="761"/>
    </row>
    <row r="795" spans="1:10" s="732" customFormat="1" ht="15">
      <c r="A795" s="867" t="s">
        <v>286</v>
      </c>
      <c r="B795" s="867" t="s">
        <v>367</v>
      </c>
      <c r="C795" s="867" t="s">
        <v>105</v>
      </c>
      <c r="D795" s="868" t="s">
        <v>360</v>
      </c>
      <c r="E795" s="672"/>
      <c r="F795" s="166"/>
      <c r="G795" s="726"/>
      <c r="H795" s="673"/>
      <c r="I795" s="674">
        <f>I796</f>
        <v>654818</v>
      </c>
      <c r="J795" s="727"/>
    </row>
    <row r="796" spans="1:10" s="732" customFormat="1" ht="46.5">
      <c r="A796" s="867"/>
      <c r="B796" s="867"/>
      <c r="C796" s="867"/>
      <c r="D796" s="868"/>
      <c r="E796" s="672" t="s">
        <v>1827</v>
      </c>
      <c r="F796" s="166"/>
      <c r="G796" s="726"/>
      <c r="H796" s="673"/>
      <c r="I796" s="701">
        <f>852434-197616</f>
        <v>654818</v>
      </c>
      <c r="J796" s="727"/>
    </row>
    <row r="797" spans="1:10" ht="15">
      <c r="A797" s="663" t="s">
        <v>361</v>
      </c>
      <c r="B797" s="663"/>
      <c r="C797" s="663"/>
      <c r="D797" s="663" t="s">
        <v>1828</v>
      </c>
      <c r="E797" s="775"/>
      <c r="F797" s="667"/>
      <c r="G797" s="776"/>
      <c r="H797" s="668"/>
      <c r="I797" s="669">
        <f>I798</f>
        <v>1050000</v>
      </c>
      <c r="J797" s="777"/>
    </row>
    <row r="798" spans="1:10" ht="15">
      <c r="A798" s="663" t="s">
        <v>362</v>
      </c>
      <c r="B798" s="663"/>
      <c r="C798" s="663"/>
      <c r="D798" s="663" t="s">
        <v>1828</v>
      </c>
      <c r="E798" s="775"/>
      <c r="F798" s="667"/>
      <c r="G798" s="776"/>
      <c r="H798" s="668"/>
      <c r="I798" s="669">
        <f>I799+I802</f>
        <v>1050000</v>
      </c>
      <c r="J798" s="777"/>
    </row>
    <row r="799" spans="1:10" s="658" customFormat="1" ht="15">
      <c r="A799" s="866" t="s">
        <v>363</v>
      </c>
      <c r="B799" s="867" t="s">
        <v>367</v>
      </c>
      <c r="C799" s="866" t="s">
        <v>105</v>
      </c>
      <c r="D799" s="868" t="s">
        <v>360</v>
      </c>
      <c r="E799" s="685"/>
      <c r="F799" s="166"/>
      <c r="G799" s="726"/>
      <c r="H799" s="673"/>
      <c r="I799" s="674">
        <f>SUM(I800:I801)</f>
        <v>50000</v>
      </c>
      <c r="J799" s="727"/>
    </row>
    <row r="800" spans="1:10" s="732" customFormat="1" ht="30.75" hidden="1">
      <c r="A800" s="866"/>
      <c r="B800" s="867"/>
      <c r="C800" s="866"/>
      <c r="D800" s="868"/>
      <c r="E800" s="685" t="s">
        <v>1829</v>
      </c>
      <c r="F800" s="166"/>
      <c r="G800" s="726"/>
      <c r="H800" s="673"/>
      <c r="I800" s="166"/>
      <c r="J800" s="727"/>
    </row>
    <row r="801" spans="1:10" s="732" customFormat="1" ht="15">
      <c r="A801" s="866"/>
      <c r="B801" s="867"/>
      <c r="C801" s="866"/>
      <c r="D801" s="868"/>
      <c r="E801" s="682" t="s">
        <v>1830</v>
      </c>
      <c r="F801" s="696"/>
      <c r="G801" s="696"/>
      <c r="H801" s="697"/>
      <c r="I801" s="686">
        <v>50000</v>
      </c>
      <c r="J801" s="727"/>
    </row>
    <row r="802" spans="1:10" s="658" customFormat="1" ht="15">
      <c r="A802" s="866" t="s">
        <v>282</v>
      </c>
      <c r="B802" s="867" t="s">
        <v>567</v>
      </c>
      <c r="C802" s="866" t="s">
        <v>106</v>
      </c>
      <c r="D802" s="868" t="s">
        <v>1831</v>
      </c>
      <c r="E802" s="685"/>
      <c r="F802" s="166"/>
      <c r="G802" s="726"/>
      <c r="H802" s="673"/>
      <c r="I802" s="674">
        <f>SUM(I803:I804)</f>
        <v>1000000</v>
      </c>
      <c r="J802" s="727"/>
    </row>
    <row r="803" spans="1:10" s="732" customFormat="1" ht="30.75" hidden="1">
      <c r="A803" s="866"/>
      <c r="B803" s="867"/>
      <c r="C803" s="866"/>
      <c r="D803" s="868"/>
      <c r="E803" s="685" t="s">
        <v>1829</v>
      </c>
      <c r="F803" s="166"/>
      <c r="G803" s="726"/>
      <c r="H803" s="673"/>
      <c r="I803" s="166"/>
      <c r="J803" s="727"/>
    </row>
    <row r="804" spans="1:10" s="732" customFormat="1" ht="86.25" customHeight="1">
      <c r="A804" s="866"/>
      <c r="B804" s="867"/>
      <c r="C804" s="866"/>
      <c r="D804" s="868"/>
      <c r="E804" s="682" t="s">
        <v>1832</v>
      </c>
      <c r="F804" s="696"/>
      <c r="G804" s="696"/>
      <c r="H804" s="697"/>
      <c r="I804" s="686">
        <f>300000+700000</f>
        <v>1000000</v>
      </c>
      <c r="J804" s="727"/>
    </row>
    <row r="805" spans="1:10" s="732" customFormat="1" ht="15" hidden="1">
      <c r="A805" s="778"/>
      <c r="B805" s="653"/>
      <c r="C805" s="778"/>
      <c r="D805" s="654"/>
      <c r="E805" s="682"/>
      <c r="F805" s="696"/>
      <c r="G805" s="696"/>
      <c r="H805" s="697"/>
      <c r="I805" s="686"/>
      <c r="J805" s="727"/>
    </row>
    <row r="806" spans="1:10" ht="17.25">
      <c r="A806" s="864" t="s">
        <v>169</v>
      </c>
      <c r="B806" s="864"/>
      <c r="C806" s="864"/>
      <c r="D806" s="864"/>
      <c r="E806" s="864"/>
      <c r="F806" s="864"/>
      <c r="G806" s="864"/>
      <c r="H806" s="779"/>
      <c r="I806" s="780">
        <f>I797+I793+I768+I761+I757+I668+I664+I393+I389+I368+I324+I14+I8</f>
        <v>569815212.55</v>
      </c>
      <c r="J806" s="781"/>
    </row>
    <row r="807" spans="1:10" ht="17.25">
      <c r="A807" s="782"/>
      <c r="B807" s="782"/>
      <c r="C807" s="782"/>
      <c r="D807" s="782"/>
      <c r="E807" s="782"/>
      <c r="F807" s="782"/>
      <c r="G807" s="782"/>
      <c r="H807" s="783"/>
      <c r="I807" s="784"/>
      <c r="J807" s="785"/>
    </row>
    <row r="808" spans="1:10" ht="17.25">
      <c r="A808" s="782"/>
      <c r="B808" s="782"/>
      <c r="C808" s="782"/>
      <c r="D808" s="782"/>
      <c r="E808" s="782"/>
      <c r="F808" s="782"/>
      <c r="G808" s="782"/>
      <c r="H808" s="783"/>
      <c r="I808" s="784"/>
      <c r="J808" s="785"/>
    </row>
    <row r="809" spans="5:9" ht="12.75">
      <c r="E809" s="623"/>
      <c r="F809" s="623"/>
      <c r="G809" s="623"/>
      <c r="H809" s="786"/>
      <c r="I809" s="623"/>
    </row>
    <row r="810" spans="1:21" s="792" customFormat="1" ht="17.25">
      <c r="A810" s="787"/>
      <c r="B810" s="865" t="s">
        <v>283</v>
      </c>
      <c r="C810" s="865"/>
      <c r="D810" s="865"/>
      <c r="E810" s="788"/>
      <c r="F810" s="789"/>
      <c r="G810" s="789"/>
      <c r="H810" s="790"/>
      <c r="I810" s="789"/>
      <c r="J810" s="791" t="s">
        <v>700</v>
      </c>
      <c r="K810" s="788"/>
      <c r="L810" s="788"/>
      <c r="M810" s="788"/>
      <c r="N810" s="788"/>
      <c r="O810" s="788"/>
      <c r="P810" s="788"/>
      <c r="Q810" s="788"/>
      <c r="R810" s="788"/>
      <c r="S810" s="788"/>
      <c r="T810" s="788"/>
      <c r="U810" s="788"/>
    </row>
  </sheetData>
  <sheetProtection/>
  <mergeCells count="279">
    <mergeCell ref="I1:J1"/>
    <mergeCell ref="A3:J3"/>
    <mergeCell ref="A10:A13"/>
    <mergeCell ref="B10:B13"/>
    <mergeCell ref="C10:C13"/>
    <mergeCell ref="D10:D13"/>
    <mergeCell ref="A16:A29"/>
    <mergeCell ref="B16:B29"/>
    <mergeCell ref="C16:C29"/>
    <mergeCell ref="D16:D29"/>
    <mergeCell ref="A30:A61"/>
    <mergeCell ref="B30:B61"/>
    <mergeCell ref="C30:C61"/>
    <mergeCell ref="D30:D61"/>
    <mergeCell ref="A62:A67"/>
    <mergeCell ref="B62:B67"/>
    <mergeCell ref="C62:C67"/>
    <mergeCell ref="D62:D67"/>
    <mergeCell ref="A68:A74"/>
    <mergeCell ref="B68:B74"/>
    <mergeCell ref="C68:C74"/>
    <mergeCell ref="D68:D74"/>
    <mergeCell ref="A75:A77"/>
    <mergeCell ref="B75:B77"/>
    <mergeCell ref="C75:C77"/>
    <mergeCell ref="D75:D77"/>
    <mergeCell ref="A78:A80"/>
    <mergeCell ref="B78:B80"/>
    <mergeCell ref="C78:C80"/>
    <mergeCell ref="D78:D80"/>
    <mergeCell ref="A81:A82"/>
    <mergeCell ref="B81:B82"/>
    <mergeCell ref="C81:C82"/>
    <mergeCell ref="D81:D82"/>
    <mergeCell ref="A83:A84"/>
    <mergeCell ref="B83:B84"/>
    <mergeCell ref="C83:C84"/>
    <mergeCell ref="D83:D84"/>
    <mergeCell ref="A85:A86"/>
    <mergeCell ref="B85:B86"/>
    <mergeCell ref="C85:C86"/>
    <mergeCell ref="D85:D86"/>
    <mergeCell ref="A87:A88"/>
    <mergeCell ref="B87:B88"/>
    <mergeCell ref="C87:C88"/>
    <mergeCell ref="D87:D88"/>
    <mergeCell ref="A89:A90"/>
    <mergeCell ref="B89:B90"/>
    <mergeCell ref="C89:C90"/>
    <mergeCell ref="D89:D90"/>
    <mergeCell ref="A91:A118"/>
    <mergeCell ref="B91:B118"/>
    <mergeCell ref="C91:C118"/>
    <mergeCell ref="D91:D118"/>
    <mergeCell ref="A119:A120"/>
    <mergeCell ref="B119:B120"/>
    <mergeCell ref="C119:C120"/>
    <mergeCell ref="D119:D120"/>
    <mergeCell ref="A121:A272"/>
    <mergeCell ref="B121:B272"/>
    <mergeCell ref="C121:C272"/>
    <mergeCell ref="D121:D272"/>
    <mergeCell ref="A273:A281"/>
    <mergeCell ref="B273:B281"/>
    <mergeCell ref="C273:C281"/>
    <mergeCell ref="D273:D281"/>
    <mergeCell ref="A282:A286"/>
    <mergeCell ref="B282:B286"/>
    <mergeCell ref="C282:C286"/>
    <mergeCell ref="D282:D286"/>
    <mergeCell ref="A287:A288"/>
    <mergeCell ref="B287:B288"/>
    <mergeCell ref="C287:C288"/>
    <mergeCell ref="D287:D288"/>
    <mergeCell ref="A289:A295"/>
    <mergeCell ref="B289:B295"/>
    <mergeCell ref="C289:C295"/>
    <mergeCell ref="D289:D295"/>
    <mergeCell ref="A296:A321"/>
    <mergeCell ref="B296:B321"/>
    <mergeCell ref="C296:C321"/>
    <mergeCell ref="D296:D321"/>
    <mergeCell ref="A322:A323"/>
    <mergeCell ref="B322:B323"/>
    <mergeCell ref="C322:C323"/>
    <mergeCell ref="D322:D323"/>
    <mergeCell ref="A326:A328"/>
    <mergeCell ref="B326:B328"/>
    <mergeCell ref="C326:C328"/>
    <mergeCell ref="D326:D328"/>
    <mergeCell ref="A329:A367"/>
    <mergeCell ref="B329:B367"/>
    <mergeCell ref="C329:C367"/>
    <mergeCell ref="D329:D367"/>
    <mergeCell ref="A370:A371"/>
    <mergeCell ref="B370:B371"/>
    <mergeCell ref="C370:C371"/>
    <mergeCell ref="D370:D371"/>
    <mergeCell ref="A372:A373"/>
    <mergeCell ref="B372:B373"/>
    <mergeCell ref="C372:C373"/>
    <mergeCell ref="D372:D373"/>
    <mergeCell ref="A374:A375"/>
    <mergeCell ref="B374:B375"/>
    <mergeCell ref="C374:C375"/>
    <mergeCell ref="D374:D375"/>
    <mergeCell ref="A376:A380"/>
    <mergeCell ref="B376:B380"/>
    <mergeCell ref="C376:C380"/>
    <mergeCell ref="D376:D380"/>
    <mergeCell ref="A381:A382"/>
    <mergeCell ref="B381:B382"/>
    <mergeCell ref="C381:C382"/>
    <mergeCell ref="D381:D382"/>
    <mergeCell ref="A383:A385"/>
    <mergeCell ref="B383:B385"/>
    <mergeCell ref="C383:C385"/>
    <mergeCell ref="D383:D385"/>
    <mergeCell ref="A386:A388"/>
    <mergeCell ref="B386:B388"/>
    <mergeCell ref="C386:C388"/>
    <mergeCell ref="D386:D388"/>
    <mergeCell ref="K386:K388"/>
    <mergeCell ref="L386:L388"/>
    <mergeCell ref="A391:A392"/>
    <mergeCell ref="B391:B392"/>
    <mergeCell ref="C391:C392"/>
    <mergeCell ref="D391:D392"/>
    <mergeCell ref="A395:A396"/>
    <mergeCell ref="B395:B396"/>
    <mergeCell ref="C395:C396"/>
    <mergeCell ref="D395:D396"/>
    <mergeCell ref="A397:A403"/>
    <mergeCell ref="B397:B403"/>
    <mergeCell ref="C397:C403"/>
    <mergeCell ref="D397:D403"/>
    <mergeCell ref="A404:A405"/>
    <mergeCell ref="B404:B405"/>
    <mergeCell ref="C404:C405"/>
    <mergeCell ref="D404:D405"/>
    <mergeCell ref="A406:A411"/>
    <mergeCell ref="B406:B411"/>
    <mergeCell ref="C406:C411"/>
    <mergeCell ref="D406:D411"/>
    <mergeCell ref="A412:A413"/>
    <mergeCell ref="B412:B413"/>
    <mergeCell ref="C412:C413"/>
    <mergeCell ref="D412:D413"/>
    <mergeCell ref="A414:A475"/>
    <mergeCell ref="B414:B475"/>
    <mergeCell ref="C414:C475"/>
    <mergeCell ref="D414:D475"/>
    <mergeCell ref="A476:A477"/>
    <mergeCell ref="B476:B477"/>
    <mergeCell ref="C476:C477"/>
    <mergeCell ref="D476:D477"/>
    <mergeCell ref="A478:A479"/>
    <mergeCell ref="B478:B479"/>
    <mergeCell ref="C478:C479"/>
    <mergeCell ref="D478:D479"/>
    <mergeCell ref="A480:A539"/>
    <mergeCell ref="B480:B539"/>
    <mergeCell ref="C480:C539"/>
    <mergeCell ref="D480:D539"/>
    <mergeCell ref="A540:A659"/>
    <mergeCell ref="B540:B659"/>
    <mergeCell ref="C540:C659"/>
    <mergeCell ref="D540:D659"/>
    <mergeCell ref="A660:A661"/>
    <mergeCell ref="B660:B661"/>
    <mergeCell ref="C660:C661"/>
    <mergeCell ref="D660:D661"/>
    <mergeCell ref="A662:A663"/>
    <mergeCell ref="B662:B663"/>
    <mergeCell ref="C662:C663"/>
    <mergeCell ref="D662:D663"/>
    <mergeCell ref="A666:A667"/>
    <mergeCell ref="B666:B667"/>
    <mergeCell ref="C666:C667"/>
    <mergeCell ref="D666:D667"/>
    <mergeCell ref="A670:A671"/>
    <mergeCell ref="B670:B671"/>
    <mergeCell ref="C670:C671"/>
    <mergeCell ref="D670:D671"/>
    <mergeCell ref="A672:A673"/>
    <mergeCell ref="B672:B673"/>
    <mergeCell ref="C672:C673"/>
    <mergeCell ref="D672:D673"/>
    <mergeCell ref="A674:A676"/>
    <mergeCell ref="B674:B676"/>
    <mergeCell ref="C674:C676"/>
    <mergeCell ref="D674:D676"/>
    <mergeCell ref="A677:A678"/>
    <mergeCell ref="B677:B678"/>
    <mergeCell ref="C677:C678"/>
    <mergeCell ref="D677:D678"/>
    <mergeCell ref="A679:A680"/>
    <mergeCell ref="B679:B680"/>
    <mergeCell ref="C679:C680"/>
    <mergeCell ref="D679:D680"/>
    <mergeCell ref="A681:A683"/>
    <mergeCell ref="B681:B683"/>
    <mergeCell ref="C681:C683"/>
    <mergeCell ref="D681:D683"/>
    <mergeCell ref="A684:A685"/>
    <mergeCell ref="B684:B685"/>
    <mergeCell ref="C684:C685"/>
    <mergeCell ref="D684:D685"/>
    <mergeCell ref="A686:A694"/>
    <mergeCell ref="B686:B694"/>
    <mergeCell ref="C686:C694"/>
    <mergeCell ref="D686:D694"/>
    <mergeCell ref="A695:A696"/>
    <mergeCell ref="B695:B696"/>
    <mergeCell ref="C695:C696"/>
    <mergeCell ref="D695:D696"/>
    <mergeCell ref="A697:A703"/>
    <mergeCell ref="B697:B703"/>
    <mergeCell ref="C697:C703"/>
    <mergeCell ref="D697:D703"/>
    <mergeCell ref="A704:A749"/>
    <mergeCell ref="B704:B749"/>
    <mergeCell ref="C704:C749"/>
    <mergeCell ref="D704:D749"/>
    <mergeCell ref="A750:A751"/>
    <mergeCell ref="B750:B751"/>
    <mergeCell ref="C750:C751"/>
    <mergeCell ref="D750:D751"/>
    <mergeCell ref="A752:A753"/>
    <mergeCell ref="B752:B753"/>
    <mergeCell ref="C752:C753"/>
    <mergeCell ref="D752:D753"/>
    <mergeCell ref="A754:A755"/>
    <mergeCell ref="B754:B755"/>
    <mergeCell ref="C754:C755"/>
    <mergeCell ref="D754:D755"/>
    <mergeCell ref="A759:A760"/>
    <mergeCell ref="B759:B760"/>
    <mergeCell ref="C759:C760"/>
    <mergeCell ref="D759:D760"/>
    <mergeCell ref="A763:A764"/>
    <mergeCell ref="B763:B764"/>
    <mergeCell ref="C763:C764"/>
    <mergeCell ref="D763:D764"/>
    <mergeCell ref="A765:A767"/>
    <mergeCell ref="B765:B767"/>
    <mergeCell ref="C765:C767"/>
    <mergeCell ref="D765:D767"/>
    <mergeCell ref="A770:A771"/>
    <mergeCell ref="B770:B771"/>
    <mergeCell ref="C770:C771"/>
    <mergeCell ref="D770:D771"/>
    <mergeCell ref="A772:A779"/>
    <mergeCell ref="B772:B779"/>
    <mergeCell ref="C772:C779"/>
    <mergeCell ref="D772:D779"/>
    <mergeCell ref="A780:A781"/>
    <mergeCell ref="B780:B781"/>
    <mergeCell ref="C780:C781"/>
    <mergeCell ref="D780:D781"/>
    <mergeCell ref="D802:D804"/>
    <mergeCell ref="A782:A792"/>
    <mergeCell ref="B782:B792"/>
    <mergeCell ref="C782:C792"/>
    <mergeCell ref="D782:D792"/>
    <mergeCell ref="A795:A796"/>
    <mergeCell ref="B795:B796"/>
    <mergeCell ref="C795:C796"/>
    <mergeCell ref="D795:D796"/>
    <mergeCell ref="A806:E806"/>
    <mergeCell ref="F806:G806"/>
    <mergeCell ref="B810:D810"/>
    <mergeCell ref="A799:A801"/>
    <mergeCell ref="B799:B801"/>
    <mergeCell ref="C799:C801"/>
    <mergeCell ref="D799:D801"/>
    <mergeCell ref="A802:A804"/>
    <mergeCell ref="B802:B804"/>
    <mergeCell ref="C802:C804"/>
  </mergeCells>
  <printOptions/>
  <pageMargins left="0.35433070866141736" right="0.2755905511811024" top="0.23" bottom="0.21" header="0.15748031496062992" footer="0.25"/>
  <pageSetup fitToHeight="28"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AD193"/>
  <sheetViews>
    <sheetView view="pageBreakPreview" zoomScale="60" zoomScalePageLayoutView="0" workbookViewId="0" topLeftCell="D41">
      <selection activeCell="K67" sqref="K67"/>
    </sheetView>
  </sheetViews>
  <sheetFormatPr defaultColWidth="9.16015625" defaultRowHeight="12.75"/>
  <cols>
    <col min="1" max="1" width="3.66015625" style="238" hidden="1" customWidth="1"/>
    <col min="2" max="2" width="16.5" style="238" hidden="1" customWidth="1"/>
    <col min="3" max="3" width="7.5" style="238" hidden="1" customWidth="1"/>
    <col min="4" max="4" width="17.16015625" style="419" customWidth="1"/>
    <col min="5" max="5" width="12.5" style="244" customWidth="1"/>
    <col min="6" max="6" width="15.5" style="419" hidden="1" customWidth="1"/>
    <col min="7" max="7" width="15.33203125" style="244" customWidth="1"/>
    <col min="8" max="8" width="51.66015625" style="244" customWidth="1"/>
    <col min="9" max="9" width="54" style="244" hidden="1" customWidth="1"/>
    <col min="10" max="10" width="55" style="244" customWidth="1"/>
    <col min="11" max="11" width="24.5" style="244" customWidth="1"/>
    <col min="12" max="12" width="23.16015625" style="140" customWidth="1"/>
    <col min="13" max="13" width="21.16015625" style="246" customWidth="1"/>
    <col min="14" max="14" width="21.83203125" style="246" customWidth="1"/>
    <col min="15" max="15" width="23.16015625" style="140" customWidth="1"/>
    <col min="16" max="16" width="9.16015625" style="214" customWidth="1"/>
    <col min="17" max="17" width="15.33203125" style="214" customWidth="1"/>
    <col min="18" max="16384" width="9.16015625" style="214" customWidth="1"/>
  </cols>
  <sheetData>
    <row r="1" spans="1:15" s="93" customFormat="1" ht="31.5" customHeight="1">
      <c r="A1" s="91"/>
      <c r="B1" s="92"/>
      <c r="C1" s="92"/>
      <c r="D1" s="369"/>
      <c r="E1" s="370"/>
      <c r="F1" s="370"/>
      <c r="G1" s="370"/>
      <c r="H1" s="370"/>
      <c r="I1" s="370"/>
      <c r="J1" s="370"/>
      <c r="K1" s="370"/>
      <c r="L1" s="92"/>
      <c r="M1" s="92"/>
      <c r="N1" s="822" t="s">
        <v>932</v>
      </c>
      <c r="O1" s="965"/>
    </row>
    <row r="2" spans="1:15" s="93" customFormat="1" ht="143.25" customHeight="1">
      <c r="A2" s="91"/>
      <c r="B2" s="92"/>
      <c r="C2" s="92"/>
      <c r="D2" s="369"/>
      <c r="E2" s="370"/>
      <c r="F2" s="370"/>
      <c r="G2" s="370"/>
      <c r="H2" s="370"/>
      <c r="I2" s="370"/>
      <c r="J2" s="370"/>
      <c r="K2" s="370"/>
      <c r="L2" s="92"/>
      <c r="M2" s="92"/>
      <c r="N2" s="965"/>
      <c r="O2" s="965"/>
    </row>
    <row r="3" spans="1:15" s="93" customFormat="1" ht="51" customHeight="1">
      <c r="A3" s="91"/>
      <c r="B3" s="92"/>
      <c r="C3" s="92"/>
      <c r="D3" s="369"/>
      <c r="E3" s="370"/>
      <c r="F3" s="370"/>
      <c r="G3" s="370"/>
      <c r="H3" s="370"/>
      <c r="I3" s="370"/>
      <c r="J3" s="370"/>
      <c r="K3" s="370"/>
      <c r="L3" s="92"/>
      <c r="M3" s="92"/>
      <c r="N3" s="289"/>
      <c r="O3" s="289"/>
    </row>
    <row r="4" spans="1:15" s="40" customFormat="1" ht="45" customHeight="1">
      <c r="A4" s="238"/>
      <c r="B4" s="968" t="s">
        <v>267</v>
      </c>
      <c r="C4" s="968"/>
      <c r="D4" s="968"/>
      <c r="E4" s="968"/>
      <c r="F4" s="969"/>
      <c r="G4" s="969"/>
      <c r="H4" s="969"/>
      <c r="I4" s="969"/>
      <c r="J4" s="969"/>
      <c r="K4" s="969"/>
      <c r="L4" s="969"/>
      <c r="M4" s="969"/>
      <c r="N4" s="969"/>
      <c r="O4" s="969"/>
    </row>
    <row r="5" spans="1:14" ht="18.75">
      <c r="A5" s="1"/>
      <c r="B5" s="102"/>
      <c r="C5" s="102"/>
      <c r="D5" s="440"/>
      <c r="E5" s="374"/>
      <c r="F5" s="441"/>
      <c r="G5" s="373"/>
      <c r="H5" s="373"/>
      <c r="I5" s="372"/>
      <c r="J5" s="373"/>
      <c r="K5" s="373"/>
      <c r="L5" s="322"/>
      <c r="M5" s="239"/>
      <c r="N5" s="240"/>
    </row>
    <row r="6" spans="1:15" ht="18.75">
      <c r="A6" s="1"/>
      <c r="B6" s="102"/>
      <c r="C6" s="102"/>
      <c r="D6" s="338">
        <v>23201100000</v>
      </c>
      <c r="E6" s="374"/>
      <c r="F6" s="371"/>
      <c r="G6" s="373"/>
      <c r="H6" s="373"/>
      <c r="I6" s="372"/>
      <c r="J6" s="373"/>
      <c r="K6" s="373"/>
      <c r="L6" s="322"/>
      <c r="M6" s="239"/>
      <c r="N6" s="240"/>
      <c r="O6" s="322"/>
    </row>
    <row r="7" spans="1:15" ht="18.75">
      <c r="A7" s="1"/>
      <c r="B7" s="102"/>
      <c r="C7" s="102"/>
      <c r="D7" s="375" t="s">
        <v>162</v>
      </c>
      <c r="E7" s="374"/>
      <c r="F7" s="371"/>
      <c r="G7" s="373"/>
      <c r="H7" s="373"/>
      <c r="I7" s="372"/>
      <c r="J7" s="373"/>
      <c r="K7" s="373"/>
      <c r="L7" s="322"/>
      <c r="M7" s="239"/>
      <c r="N7" s="240"/>
      <c r="O7" s="322" t="s">
        <v>238</v>
      </c>
    </row>
    <row r="8" spans="1:15" ht="78.75" customHeight="1">
      <c r="A8" s="241"/>
      <c r="B8" s="104" t="s">
        <v>414</v>
      </c>
      <c r="C8" s="105" t="s">
        <v>358</v>
      </c>
      <c r="D8" s="961" t="s">
        <v>164</v>
      </c>
      <c r="E8" s="961" t="s">
        <v>165</v>
      </c>
      <c r="F8" s="106" t="s">
        <v>359</v>
      </c>
      <c r="G8" s="959" t="s">
        <v>685</v>
      </c>
      <c r="H8" s="959" t="s">
        <v>168</v>
      </c>
      <c r="I8" s="8" t="s">
        <v>327</v>
      </c>
      <c r="J8" s="974" t="s">
        <v>335</v>
      </c>
      <c r="K8" s="974" t="s">
        <v>635</v>
      </c>
      <c r="L8" s="974" t="s">
        <v>169</v>
      </c>
      <c r="M8" s="808" t="s">
        <v>92</v>
      </c>
      <c r="N8" s="980" t="s">
        <v>521</v>
      </c>
      <c r="O8" s="980"/>
    </row>
    <row r="9" spans="1:15" ht="42.75">
      <c r="A9" s="241"/>
      <c r="B9" s="104"/>
      <c r="C9" s="105"/>
      <c r="D9" s="962"/>
      <c r="E9" s="962"/>
      <c r="F9" s="106"/>
      <c r="G9" s="960"/>
      <c r="H9" s="960"/>
      <c r="I9" s="8"/>
      <c r="J9" s="975"/>
      <c r="K9" s="975"/>
      <c r="L9" s="975"/>
      <c r="M9" s="808"/>
      <c r="N9" s="50" t="s">
        <v>686</v>
      </c>
      <c r="O9" s="50" t="s">
        <v>634</v>
      </c>
    </row>
    <row r="10" spans="2:15" ht="28.5">
      <c r="B10" s="50" t="s">
        <v>393</v>
      </c>
      <c r="C10" s="50"/>
      <c r="D10" s="376" t="s">
        <v>336</v>
      </c>
      <c r="E10" s="377"/>
      <c r="F10" s="377"/>
      <c r="G10" s="377"/>
      <c r="H10" s="114" t="s">
        <v>418</v>
      </c>
      <c r="I10" s="114" t="s">
        <v>394</v>
      </c>
      <c r="J10" s="378"/>
      <c r="K10" s="378"/>
      <c r="L10" s="108">
        <f>L11</f>
        <v>1064200</v>
      </c>
      <c r="M10" s="108">
        <f aca="true" t="shared" si="0" ref="M10:O11">M11</f>
        <v>1064200</v>
      </c>
      <c r="N10" s="108">
        <f t="shared" si="0"/>
        <v>0</v>
      </c>
      <c r="O10" s="108">
        <f t="shared" si="0"/>
        <v>0</v>
      </c>
    </row>
    <row r="11" spans="2:15" ht="28.5">
      <c r="B11" s="50" t="s">
        <v>393</v>
      </c>
      <c r="C11" s="50"/>
      <c r="D11" s="376" t="s">
        <v>339</v>
      </c>
      <c r="E11" s="377"/>
      <c r="F11" s="377"/>
      <c r="G11" s="377"/>
      <c r="H11" s="114" t="s">
        <v>418</v>
      </c>
      <c r="I11" s="114" t="s">
        <v>394</v>
      </c>
      <c r="J11" s="378"/>
      <c r="K11" s="378"/>
      <c r="L11" s="108">
        <f>L12</f>
        <v>1064200</v>
      </c>
      <c r="M11" s="108">
        <f t="shared" si="0"/>
        <v>1064200</v>
      </c>
      <c r="N11" s="108">
        <f t="shared" si="0"/>
        <v>0</v>
      </c>
      <c r="O11" s="108">
        <f t="shared" si="0"/>
        <v>0</v>
      </c>
    </row>
    <row r="12" spans="1:15" s="303" customFormat="1" ht="69.75" customHeight="1">
      <c r="A12" s="301"/>
      <c r="B12" s="298"/>
      <c r="C12" s="298"/>
      <c r="D12" s="304" t="s">
        <v>284</v>
      </c>
      <c r="E12" s="302" t="s">
        <v>106</v>
      </c>
      <c r="F12" s="350"/>
      <c r="G12" s="302" t="s">
        <v>889</v>
      </c>
      <c r="H12" s="305" t="s">
        <v>76</v>
      </c>
      <c r="I12" s="299"/>
      <c r="J12" s="379" t="s">
        <v>417</v>
      </c>
      <c r="K12" s="101" t="s">
        <v>672</v>
      </c>
      <c r="L12" s="300">
        <f>M12+N12</f>
        <v>1064200</v>
      </c>
      <c r="M12" s="300">
        <f>'дод.3'!E15</f>
        <v>1064200</v>
      </c>
      <c r="N12" s="300"/>
      <c r="O12" s="300"/>
    </row>
    <row r="13" spans="2:15" ht="28.5">
      <c r="B13" s="50" t="s">
        <v>393</v>
      </c>
      <c r="C13" s="50"/>
      <c r="D13" s="376" t="s">
        <v>787</v>
      </c>
      <c r="E13" s="377"/>
      <c r="F13" s="377"/>
      <c r="G13" s="377"/>
      <c r="H13" s="114" t="s">
        <v>833</v>
      </c>
      <c r="I13" s="114" t="s">
        <v>394</v>
      </c>
      <c r="J13" s="378"/>
      <c r="K13" s="378"/>
      <c r="L13" s="108" t="e">
        <f>M13+N13</f>
        <v>#REF!</v>
      </c>
      <c r="M13" s="108" t="e">
        <f>M14</f>
        <v>#REF!</v>
      </c>
      <c r="N13" s="108" t="e">
        <f>N14</f>
        <v>#REF!</v>
      </c>
      <c r="O13" s="108">
        <f>O14</f>
        <v>617614</v>
      </c>
    </row>
    <row r="14" spans="2:15" ht="28.5">
      <c r="B14" s="50" t="s">
        <v>393</v>
      </c>
      <c r="C14" s="50"/>
      <c r="D14" s="376" t="s">
        <v>786</v>
      </c>
      <c r="E14" s="377"/>
      <c r="F14" s="377"/>
      <c r="G14" s="377"/>
      <c r="H14" s="114" t="s">
        <v>395</v>
      </c>
      <c r="I14" s="114" t="s">
        <v>394</v>
      </c>
      <c r="J14" s="378"/>
      <c r="K14" s="378"/>
      <c r="L14" s="108" t="e">
        <f>M14+N14</f>
        <v>#REF!</v>
      </c>
      <c r="M14" s="108" t="e">
        <f>SUM(M16:M54)-M18-M22-M25-M41</f>
        <v>#REF!</v>
      </c>
      <c r="N14" s="108" t="e">
        <f>SUM(N16:N54)</f>
        <v>#REF!</v>
      </c>
      <c r="O14" s="108">
        <f>SUM(O16:O54)</f>
        <v>617614</v>
      </c>
    </row>
    <row r="15" spans="1:15" s="278" customFormat="1" ht="15">
      <c r="A15" s="275"/>
      <c r="B15" s="206"/>
      <c r="C15" s="206"/>
      <c r="D15" s="939" t="s">
        <v>783</v>
      </c>
      <c r="E15" s="942">
        <v>1010</v>
      </c>
      <c r="F15" s="350"/>
      <c r="G15" s="945" t="s">
        <v>891</v>
      </c>
      <c r="H15" s="948" t="s">
        <v>789</v>
      </c>
      <c r="I15" s="287"/>
      <c r="J15" s="380"/>
      <c r="K15" s="380"/>
      <c r="L15" s="288">
        <f>L16+L17</f>
        <v>14164620</v>
      </c>
      <c r="M15" s="288">
        <f>M16+M17</f>
        <v>14164620</v>
      </c>
      <c r="N15" s="288"/>
      <c r="O15" s="288"/>
    </row>
    <row r="16" spans="2:15" ht="90" customHeight="1">
      <c r="B16" s="100"/>
      <c r="C16" s="100"/>
      <c r="D16" s="940"/>
      <c r="E16" s="943"/>
      <c r="F16" s="137" t="s">
        <v>890</v>
      </c>
      <c r="G16" s="946"/>
      <c r="H16" s="949"/>
      <c r="I16" s="349" t="s">
        <v>892</v>
      </c>
      <c r="J16" s="381" t="s">
        <v>21</v>
      </c>
      <c r="K16" s="428" t="s">
        <v>674</v>
      </c>
      <c r="L16" s="111">
        <f>M16+N16</f>
        <v>1081836</v>
      </c>
      <c r="M16" s="110">
        <v>1081836</v>
      </c>
      <c r="N16" s="115"/>
      <c r="O16" s="112"/>
    </row>
    <row r="17" spans="2:15" ht="99" customHeight="1">
      <c r="B17" s="100"/>
      <c r="C17" s="100"/>
      <c r="D17" s="941"/>
      <c r="E17" s="944"/>
      <c r="F17" s="137"/>
      <c r="G17" s="947"/>
      <c r="H17" s="950"/>
      <c r="I17" s="349"/>
      <c r="J17" s="381" t="s">
        <v>219</v>
      </c>
      <c r="K17" s="428" t="s">
        <v>198</v>
      </c>
      <c r="L17" s="111">
        <f>M17+N17</f>
        <v>13082784</v>
      </c>
      <c r="M17" s="110">
        <v>13082784</v>
      </c>
      <c r="N17" s="115"/>
      <c r="O17" s="112"/>
    </row>
    <row r="18" spans="2:15" ht="15">
      <c r="B18" s="100"/>
      <c r="C18" s="100"/>
      <c r="D18" s="914" t="s">
        <v>782</v>
      </c>
      <c r="E18" s="917">
        <v>1020</v>
      </c>
      <c r="F18" s="137"/>
      <c r="G18" s="920" t="s">
        <v>893</v>
      </c>
      <c r="H18" s="923" t="s">
        <v>186</v>
      </c>
      <c r="I18" s="349"/>
      <c r="J18" s="381"/>
      <c r="K18" s="428"/>
      <c r="L18" s="111">
        <f>M18+N18</f>
        <v>14076752.64</v>
      </c>
      <c r="M18" s="110">
        <f>M19+M20</f>
        <v>14076752.64</v>
      </c>
      <c r="N18" s="115"/>
      <c r="O18" s="112"/>
    </row>
    <row r="19" spans="2:15" ht="59.25" customHeight="1">
      <c r="B19" s="50"/>
      <c r="C19" s="50"/>
      <c r="D19" s="915"/>
      <c r="E19" s="918"/>
      <c r="F19" s="134"/>
      <c r="G19" s="921"/>
      <c r="H19" s="924"/>
      <c r="I19" s="363"/>
      <c r="J19" s="382" t="s">
        <v>171</v>
      </c>
      <c r="K19" s="428" t="s">
        <v>2</v>
      </c>
      <c r="L19" s="111">
        <f aca="true" t="shared" si="1" ref="L19:L54">M19+N19</f>
        <v>14053028.64</v>
      </c>
      <c r="M19" s="116">
        <f>16837990+1860300-1860300-2784961.36</f>
        <v>14053028.64</v>
      </c>
      <c r="N19" s="116"/>
      <c r="O19" s="112"/>
    </row>
    <row r="20" spans="2:15" ht="105" customHeight="1">
      <c r="B20" s="100"/>
      <c r="C20" s="100"/>
      <c r="D20" s="916"/>
      <c r="E20" s="919"/>
      <c r="F20" s="137"/>
      <c r="G20" s="922"/>
      <c r="H20" s="925"/>
      <c r="I20" s="349"/>
      <c r="J20" s="381" t="s">
        <v>219</v>
      </c>
      <c r="K20" s="428" t="s">
        <v>198</v>
      </c>
      <c r="L20" s="111">
        <f>M20+N20</f>
        <v>23724</v>
      </c>
      <c r="M20" s="110">
        <v>23724</v>
      </c>
      <c r="N20" s="115"/>
      <c r="O20" s="112"/>
    </row>
    <row r="21" spans="2:15" ht="116.25" customHeight="1">
      <c r="B21" s="50"/>
      <c r="C21" s="50"/>
      <c r="D21" s="113" t="s">
        <v>793</v>
      </c>
      <c r="E21" s="122">
        <v>1150</v>
      </c>
      <c r="F21" s="137"/>
      <c r="G21" s="267" t="s">
        <v>346</v>
      </c>
      <c r="H21" s="353" t="s">
        <v>190</v>
      </c>
      <c r="I21" s="357"/>
      <c r="J21" s="383" t="s">
        <v>22</v>
      </c>
      <c r="K21" s="429" t="s">
        <v>701</v>
      </c>
      <c r="L21" s="361">
        <f t="shared" si="1"/>
        <v>622500</v>
      </c>
      <c r="M21" s="362">
        <f>422500+200000</f>
        <v>622500</v>
      </c>
      <c r="N21" s="362"/>
      <c r="O21" s="112"/>
    </row>
    <row r="22" spans="2:15" ht="15.75">
      <c r="B22" s="50"/>
      <c r="C22" s="50"/>
      <c r="D22" s="936" t="s">
        <v>739</v>
      </c>
      <c r="E22" s="937" t="s">
        <v>742</v>
      </c>
      <c r="F22" s="134"/>
      <c r="G22" s="937" t="s">
        <v>346</v>
      </c>
      <c r="H22" s="938" t="s">
        <v>741</v>
      </c>
      <c r="I22" s="363"/>
      <c r="J22" s="384"/>
      <c r="K22" s="428"/>
      <c r="L22" s="111">
        <f t="shared" si="1"/>
        <v>4027358</v>
      </c>
      <c r="M22" s="116">
        <f>M23+M24</f>
        <v>4027358</v>
      </c>
      <c r="N22" s="116"/>
      <c r="O22" s="112"/>
    </row>
    <row r="23" spans="1:15" s="40" customFormat="1" ht="87" customHeight="1">
      <c r="A23" s="1"/>
      <c r="B23" s="50"/>
      <c r="C23" s="50"/>
      <c r="D23" s="936"/>
      <c r="E23" s="937"/>
      <c r="F23" s="134" t="s">
        <v>345</v>
      </c>
      <c r="G23" s="937"/>
      <c r="H23" s="938"/>
      <c r="I23" s="363" t="s">
        <v>897</v>
      </c>
      <c r="J23" s="382" t="s">
        <v>191</v>
      </c>
      <c r="K23" s="430" t="s">
        <v>192</v>
      </c>
      <c r="L23" s="111">
        <f t="shared" si="1"/>
        <v>3075588</v>
      </c>
      <c r="M23" s="116">
        <f>3075588</f>
        <v>3075588</v>
      </c>
      <c r="N23" s="116"/>
      <c r="O23" s="112"/>
    </row>
    <row r="24" spans="1:15" s="40" customFormat="1" ht="37.5" customHeight="1">
      <c r="A24" s="1"/>
      <c r="B24" s="50"/>
      <c r="C24" s="50"/>
      <c r="D24" s="936"/>
      <c r="E24" s="937"/>
      <c r="F24" s="134"/>
      <c r="G24" s="937"/>
      <c r="H24" s="938"/>
      <c r="I24" s="363"/>
      <c r="J24" s="384" t="s">
        <v>203</v>
      </c>
      <c r="K24" s="428" t="s">
        <v>197</v>
      </c>
      <c r="L24" s="111">
        <f t="shared" si="1"/>
        <v>951770</v>
      </c>
      <c r="M24" s="116">
        <v>951770</v>
      </c>
      <c r="N24" s="116"/>
      <c r="O24" s="112"/>
    </row>
    <row r="25" spans="1:15" s="40" customFormat="1" ht="15.75">
      <c r="A25" s="1"/>
      <c r="B25" s="50"/>
      <c r="C25" s="50"/>
      <c r="D25" s="939" t="s">
        <v>378</v>
      </c>
      <c r="E25" s="942">
        <v>3133</v>
      </c>
      <c r="F25" s="134"/>
      <c r="G25" s="945" t="s">
        <v>719</v>
      </c>
      <c r="H25" s="948" t="s">
        <v>853</v>
      </c>
      <c r="I25" s="363"/>
      <c r="J25" s="385"/>
      <c r="K25" s="429"/>
      <c r="L25" s="111">
        <f t="shared" si="1"/>
        <v>4813247</v>
      </c>
      <c r="M25" s="270">
        <f>M26+M27</f>
        <v>4813247</v>
      </c>
      <c r="N25" s="270"/>
      <c r="O25" s="112"/>
    </row>
    <row r="26" spans="1:15" s="40" customFormat="1" ht="45.75" customHeight="1">
      <c r="A26" s="1"/>
      <c r="B26" s="50"/>
      <c r="C26" s="100"/>
      <c r="D26" s="940"/>
      <c r="E26" s="943"/>
      <c r="F26" s="134"/>
      <c r="G26" s="946"/>
      <c r="H26" s="949"/>
      <c r="I26" s="386"/>
      <c r="J26" s="387" t="s">
        <v>552</v>
      </c>
      <c r="K26" s="431" t="s">
        <v>199</v>
      </c>
      <c r="L26" s="111">
        <f t="shared" si="1"/>
        <v>3150187</v>
      </c>
      <c r="M26" s="255">
        <f>3750187-600000</f>
        <v>3150187</v>
      </c>
      <c r="N26" s="254"/>
      <c r="O26" s="112"/>
    </row>
    <row r="27" spans="1:15" s="40" customFormat="1" ht="53.25" customHeight="1">
      <c r="A27" s="1"/>
      <c r="B27" s="50"/>
      <c r="C27" s="100"/>
      <c r="D27" s="941"/>
      <c r="E27" s="944"/>
      <c r="F27" s="134"/>
      <c r="G27" s="947"/>
      <c r="H27" s="950"/>
      <c r="I27" s="386"/>
      <c r="J27" s="387" t="s">
        <v>193</v>
      </c>
      <c r="K27" s="431" t="s">
        <v>194</v>
      </c>
      <c r="L27" s="111">
        <f t="shared" si="1"/>
        <v>1663060</v>
      </c>
      <c r="M27" s="255">
        <v>1663060</v>
      </c>
      <c r="N27" s="254"/>
      <c r="O27" s="112"/>
    </row>
    <row r="28" spans="2:15" ht="94.5">
      <c r="B28" s="50"/>
      <c r="C28" s="100"/>
      <c r="D28" s="172" t="s">
        <v>776</v>
      </c>
      <c r="E28" s="117">
        <v>3140</v>
      </c>
      <c r="F28" s="134" t="s">
        <v>872</v>
      </c>
      <c r="G28" s="136" t="s">
        <v>719</v>
      </c>
      <c r="H28" s="217" t="s">
        <v>873</v>
      </c>
      <c r="I28" s="386" t="s">
        <v>874</v>
      </c>
      <c r="J28" s="379" t="s">
        <v>157</v>
      </c>
      <c r="K28" s="432" t="s">
        <v>651</v>
      </c>
      <c r="L28" s="111">
        <f t="shared" si="1"/>
        <v>445199</v>
      </c>
      <c r="M28" s="119">
        <f>'дод.3'!E52</f>
        <v>445199</v>
      </c>
      <c r="N28" s="119"/>
      <c r="O28" s="112"/>
    </row>
    <row r="29" spans="2:15" ht="30" customHeight="1" hidden="1">
      <c r="B29" s="50"/>
      <c r="C29" s="100"/>
      <c r="D29" s="172" t="s">
        <v>729</v>
      </c>
      <c r="E29" s="117">
        <v>3241</v>
      </c>
      <c r="F29" s="134" t="s">
        <v>718</v>
      </c>
      <c r="G29" s="136" t="s">
        <v>719</v>
      </c>
      <c r="H29" s="388" t="s">
        <v>731</v>
      </c>
      <c r="I29" s="386" t="s">
        <v>871</v>
      </c>
      <c r="J29" s="379" t="s">
        <v>552</v>
      </c>
      <c r="K29" s="432" t="s">
        <v>3</v>
      </c>
      <c r="L29" s="111">
        <f t="shared" si="1"/>
        <v>0</v>
      </c>
      <c r="M29" s="119">
        <f>'дод.3'!E55</f>
        <v>0</v>
      </c>
      <c r="N29" s="119">
        <f>'дод.3'!M54</f>
        <v>0</v>
      </c>
      <c r="O29" s="112"/>
    </row>
    <row r="30" spans="2:15" ht="81" customHeight="1" hidden="1">
      <c r="B30" s="50"/>
      <c r="C30" s="100"/>
      <c r="D30" s="973" t="s">
        <v>730</v>
      </c>
      <c r="E30" s="964">
        <v>3242</v>
      </c>
      <c r="F30" s="134"/>
      <c r="G30" s="963" t="s">
        <v>719</v>
      </c>
      <c r="H30" s="958" t="s">
        <v>75</v>
      </c>
      <c r="I30" s="386"/>
      <c r="J30" s="379" t="s">
        <v>702</v>
      </c>
      <c r="K30" s="432" t="s">
        <v>650</v>
      </c>
      <c r="L30" s="111">
        <f t="shared" si="1"/>
        <v>0</v>
      </c>
      <c r="M30" s="119"/>
      <c r="N30" s="119"/>
      <c r="O30" s="112"/>
    </row>
    <row r="31" spans="2:15" ht="54.75" hidden="1">
      <c r="B31" s="50"/>
      <c r="C31" s="100"/>
      <c r="D31" s="973"/>
      <c r="E31" s="964"/>
      <c r="F31" s="134"/>
      <c r="G31" s="963"/>
      <c r="H31" s="958"/>
      <c r="I31" s="386"/>
      <c r="J31" s="135" t="s">
        <v>180</v>
      </c>
      <c r="K31" s="101" t="s">
        <v>656</v>
      </c>
      <c r="L31" s="111">
        <f t="shared" si="1"/>
        <v>0</v>
      </c>
      <c r="M31" s="119"/>
      <c r="N31" s="119"/>
      <c r="O31" s="112"/>
    </row>
    <row r="32" spans="2:15" ht="60">
      <c r="B32" s="50"/>
      <c r="C32" s="100"/>
      <c r="D32" s="172" t="s">
        <v>424</v>
      </c>
      <c r="E32" s="117">
        <v>4030</v>
      </c>
      <c r="F32" s="134"/>
      <c r="G32" s="136" t="s">
        <v>720</v>
      </c>
      <c r="H32" s="163" t="s">
        <v>421</v>
      </c>
      <c r="I32" s="386"/>
      <c r="J32" s="135" t="s">
        <v>195</v>
      </c>
      <c r="K32" s="101" t="s">
        <v>196</v>
      </c>
      <c r="L32" s="111">
        <f t="shared" si="1"/>
        <v>13996943</v>
      </c>
      <c r="M32" s="119">
        <f>'дод.3'!E58</f>
        <v>13996943</v>
      </c>
      <c r="N32" s="119"/>
      <c r="O32" s="112"/>
    </row>
    <row r="33" spans="2:15" ht="27" customHeight="1">
      <c r="B33" s="50"/>
      <c r="C33" s="100"/>
      <c r="D33" s="346" t="s">
        <v>423</v>
      </c>
      <c r="E33" s="345">
        <v>4040</v>
      </c>
      <c r="F33" s="134"/>
      <c r="G33" s="138" t="s">
        <v>720</v>
      </c>
      <c r="H33" s="359" t="s">
        <v>422</v>
      </c>
      <c r="I33" s="386"/>
      <c r="J33" s="977" t="s">
        <v>195</v>
      </c>
      <c r="K33" s="926" t="s">
        <v>196</v>
      </c>
      <c r="L33" s="111">
        <f t="shared" si="1"/>
        <v>906458</v>
      </c>
      <c r="M33" s="119">
        <f>'дод.3'!E59</f>
        <v>906458</v>
      </c>
      <c r="N33" s="119"/>
      <c r="O33" s="112"/>
    </row>
    <row r="34" spans="2:15" ht="43.5" customHeight="1">
      <c r="B34" s="50"/>
      <c r="C34" s="100"/>
      <c r="D34" s="346" t="s">
        <v>774</v>
      </c>
      <c r="E34" s="345">
        <v>4060</v>
      </c>
      <c r="F34" s="134"/>
      <c r="G34" s="138" t="s">
        <v>721</v>
      </c>
      <c r="H34" s="359" t="s">
        <v>425</v>
      </c>
      <c r="I34" s="386"/>
      <c r="J34" s="978"/>
      <c r="K34" s="928"/>
      <c r="L34" s="111">
        <f t="shared" si="1"/>
        <v>6220625</v>
      </c>
      <c r="M34" s="119">
        <f>'дод.3'!E60</f>
        <v>6220625</v>
      </c>
      <c r="N34" s="119"/>
      <c r="O34" s="112"/>
    </row>
    <row r="35" spans="2:15" ht="31.5">
      <c r="B35" s="50"/>
      <c r="C35" s="50"/>
      <c r="D35" s="44" t="s">
        <v>734</v>
      </c>
      <c r="E35" s="109" t="s">
        <v>743</v>
      </c>
      <c r="F35" s="935">
        <v>110502</v>
      </c>
      <c r="G35" s="109" t="s">
        <v>723</v>
      </c>
      <c r="H35" s="360" t="s">
        <v>733</v>
      </c>
      <c r="I35" s="966" t="s">
        <v>340</v>
      </c>
      <c r="J35" s="978"/>
      <c r="K35" s="928"/>
      <c r="L35" s="111">
        <f t="shared" si="1"/>
        <v>8775716</v>
      </c>
      <c r="M35" s="116">
        <v>8775716</v>
      </c>
      <c r="N35" s="116"/>
      <c r="O35" s="119"/>
    </row>
    <row r="36" spans="2:15" ht="15">
      <c r="B36" s="50"/>
      <c r="C36" s="50"/>
      <c r="D36" s="914" t="s">
        <v>735</v>
      </c>
      <c r="E36" s="920" t="s">
        <v>744</v>
      </c>
      <c r="F36" s="935"/>
      <c r="G36" s="920" t="s">
        <v>723</v>
      </c>
      <c r="H36" s="970" t="s">
        <v>737</v>
      </c>
      <c r="I36" s="967"/>
      <c r="J36" s="979"/>
      <c r="K36" s="927"/>
      <c r="L36" s="111">
        <f t="shared" si="1"/>
        <v>8039141</v>
      </c>
      <c r="M36" s="116">
        <f>2581593+6800000+1147548-1000000-1490000</f>
        <v>8039141</v>
      </c>
      <c r="N36" s="116"/>
      <c r="O36" s="119"/>
    </row>
    <row r="37" spans="2:17" ht="42.75" customHeight="1">
      <c r="B37" s="50"/>
      <c r="C37" s="50"/>
      <c r="D37" s="915"/>
      <c r="E37" s="921"/>
      <c r="F37" s="935"/>
      <c r="G37" s="921"/>
      <c r="H37" s="971"/>
      <c r="I37" s="967"/>
      <c r="J37" s="382" t="s">
        <v>703</v>
      </c>
      <c r="K37" s="433" t="s">
        <v>655</v>
      </c>
      <c r="L37" s="111">
        <f t="shared" si="1"/>
        <v>326295</v>
      </c>
      <c r="M37" s="116">
        <f>387300-44011-16994</f>
        <v>326295</v>
      </c>
      <c r="N37" s="116"/>
      <c r="O37" s="119"/>
      <c r="Q37" s="227"/>
    </row>
    <row r="38" spans="2:15" ht="35.25" customHeight="1">
      <c r="B38" s="50"/>
      <c r="C38" s="50"/>
      <c r="D38" s="915"/>
      <c r="E38" s="921"/>
      <c r="F38" s="935"/>
      <c r="G38" s="921"/>
      <c r="H38" s="971"/>
      <c r="I38" s="967"/>
      <c r="J38" s="382" t="s">
        <v>704</v>
      </c>
      <c r="K38" s="433" t="s">
        <v>654</v>
      </c>
      <c r="L38" s="111">
        <f t="shared" si="1"/>
        <v>517632</v>
      </c>
      <c r="M38" s="116">
        <v>517632</v>
      </c>
      <c r="N38" s="116"/>
      <c r="O38" s="119"/>
    </row>
    <row r="39" spans="2:15" ht="57.75" customHeight="1" hidden="1">
      <c r="B39" s="50"/>
      <c r="C39" s="50"/>
      <c r="D39" s="915"/>
      <c r="E39" s="921"/>
      <c r="F39" s="935"/>
      <c r="G39" s="921"/>
      <c r="H39" s="971"/>
      <c r="I39" s="967"/>
      <c r="J39" s="135" t="s">
        <v>181</v>
      </c>
      <c r="K39" s="101" t="s">
        <v>172</v>
      </c>
      <c r="L39" s="111">
        <f t="shared" si="1"/>
        <v>0</v>
      </c>
      <c r="M39" s="116"/>
      <c r="N39" s="116"/>
      <c r="O39" s="119"/>
    </row>
    <row r="40" spans="2:15" ht="87.75" customHeight="1">
      <c r="B40" s="50"/>
      <c r="C40" s="50"/>
      <c r="D40" s="916"/>
      <c r="E40" s="922"/>
      <c r="F40" s="935"/>
      <c r="G40" s="922"/>
      <c r="H40" s="972"/>
      <c r="I40" s="967"/>
      <c r="J40" s="382" t="s">
        <v>191</v>
      </c>
      <c r="K40" s="434" t="s">
        <v>192</v>
      </c>
      <c r="L40" s="111">
        <f t="shared" si="1"/>
        <v>58632</v>
      </c>
      <c r="M40" s="116">
        <f>58632</f>
        <v>58632</v>
      </c>
      <c r="N40" s="116"/>
      <c r="O40" s="119"/>
    </row>
    <row r="41" spans="2:15" ht="15">
      <c r="B41" s="50"/>
      <c r="C41" s="50"/>
      <c r="D41" s="914" t="s">
        <v>770</v>
      </c>
      <c r="E41" s="917">
        <v>5011</v>
      </c>
      <c r="F41" s="134"/>
      <c r="G41" s="920" t="s">
        <v>724</v>
      </c>
      <c r="H41" s="923" t="s">
        <v>877</v>
      </c>
      <c r="I41" s="389"/>
      <c r="J41" s="382"/>
      <c r="K41" s="434"/>
      <c r="L41" s="111">
        <f t="shared" si="1"/>
        <v>904760</v>
      </c>
      <c r="M41" s="116">
        <f>M42+M43+M44</f>
        <v>904760</v>
      </c>
      <c r="N41" s="116"/>
      <c r="O41" s="119"/>
    </row>
    <row r="42" spans="1:15" s="40" customFormat="1" ht="60">
      <c r="A42" s="1"/>
      <c r="B42" s="50"/>
      <c r="C42" s="50"/>
      <c r="D42" s="915"/>
      <c r="E42" s="918"/>
      <c r="F42" s="134" t="s">
        <v>876</v>
      </c>
      <c r="G42" s="921"/>
      <c r="H42" s="924"/>
      <c r="I42" s="386" t="s">
        <v>878</v>
      </c>
      <c r="J42" s="390" t="s">
        <v>705</v>
      </c>
      <c r="K42" s="433" t="s">
        <v>649</v>
      </c>
      <c r="L42" s="111">
        <f t="shared" si="1"/>
        <v>312815</v>
      </c>
      <c r="M42" s="119">
        <v>312815</v>
      </c>
      <c r="N42" s="116"/>
      <c r="O42" s="116"/>
    </row>
    <row r="43" spans="1:15" s="40" customFormat="1" ht="48.75" customHeight="1">
      <c r="A43" s="1"/>
      <c r="B43" s="50"/>
      <c r="C43" s="50"/>
      <c r="D43" s="915"/>
      <c r="E43" s="918"/>
      <c r="F43" s="134"/>
      <c r="G43" s="921"/>
      <c r="H43" s="924"/>
      <c r="I43" s="391"/>
      <c r="J43" s="163" t="s">
        <v>706</v>
      </c>
      <c r="K43" s="433" t="s">
        <v>173</v>
      </c>
      <c r="L43" s="111">
        <f t="shared" si="1"/>
        <v>15618</v>
      </c>
      <c r="M43" s="119">
        <v>15618</v>
      </c>
      <c r="N43" s="116"/>
      <c r="O43" s="116"/>
    </row>
    <row r="44" spans="1:15" s="40" customFormat="1" ht="44.25" customHeight="1">
      <c r="A44" s="1"/>
      <c r="B44" s="50"/>
      <c r="C44" s="50"/>
      <c r="D44" s="916"/>
      <c r="E44" s="919"/>
      <c r="F44" s="134"/>
      <c r="G44" s="922"/>
      <c r="H44" s="925"/>
      <c r="I44" s="391"/>
      <c r="J44" s="163" t="s">
        <v>1</v>
      </c>
      <c r="K44" s="433" t="s">
        <v>4</v>
      </c>
      <c r="L44" s="111">
        <f t="shared" si="1"/>
        <v>576327</v>
      </c>
      <c r="M44" s="119">
        <v>576327</v>
      </c>
      <c r="N44" s="116"/>
      <c r="O44" s="116"/>
    </row>
    <row r="45" spans="1:15" s="40" customFormat="1" ht="45" customHeight="1">
      <c r="A45" s="1"/>
      <c r="B45" s="50"/>
      <c r="C45" s="50"/>
      <c r="D45" s="229" t="s">
        <v>550</v>
      </c>
      <c r="E45" s="123">
        <v>5012</v>
      </c>
      <c r="F45" s="134"/>
      <c r="G45" s="219" t="s">
        <v>724</v>
      </c>
      <c r="H45" s="354" t="s">
        <v>551</v>
      </c>
      <c r="I45" s="391"/>
      <c r="J45" s="163" t="s">
        <v>1</v>
      </c>
      <c r="K45" s="433" t="s">
        <v>4</v>
      </c>
      <c r="L45" s="111">
        <f t="shared" si="1"/>
        <v>173105</v>
      </c>
      <c r="M45" s="119">
        <v>173105</v>
      </c>
      <c r="N45" s="116"/>
      <c r="O45" s="116"/>
    </row>
    <row r="46" spans="1:15" s="40" customFormat="1" ht="42.75" customHeight="1">
      <c r="A46" s="1"/>
      <c r="B46" s="50"/>
      <c r="C46" s="50"/>
      <c r="D46" s="914" t="s">
        <v>769</v>
      </c>
      <c r="E46" s="917">
        <v>5031</v>
      </c>
      <c r="F46" s="134"/>
      <c r="G46" s="920" t="s">
        <v>724</v>
      </c>
      <c r="H46" s="923" t="s">
        <v>526</v>
      </c>
      <c r="I46" s="391"/>
      <c r="J46" s="163" t="s">
        <v>706</v>
      </c>
      <c r="K46" s="433" t="s">
        <v>173</v>
      </c>
      <c r="L46" s="111">
        <f t="shared" si="1"/>
        <v>723614</v>
      </c>
      <c r="M46" s="119">
        <v>106000</v>
      </c>
      <c r="N46" s="116">
        <v>617614</v>
      </c>
      <c r="O46" s="116">
        <f>N46</f>
        <v>617614</v>
      </c>
    </row>
    <row r="47" spans="1:15" s="40" customFormat="1" ht="101.25" customHeight="1">
      <c r="A47" s="1"/>
      <c r="B47" s="50"/>
      <c r="C47" s="50"/>
      <c r="D47" s="915"/>
      <c r="E47" s="918"/>
      <c r="F47" s="134"/>
      <c r="G47" s="921"/>
      <c r="H47" s="924"/>
      <c r="I47" s="392"/>
      <c r="J47" s="382" t="s">
        <v>191</v>
      </c>
      <c r="K47" s="434" t="s">
        <v>192</v>
      </c>
      <c r="L47" s="111">
        <f t="shared" si="1"/>
        <v>87948</v>
      </c>
      <c r="M47" s="119">
        <f>87948</f>
        <v>87948</v>
      </c>
      <c r="N47" s="116"/>
      <c r="O47" s="116"/>
    </row>
    <row r="48" spans="1:15" s="40" customFormat="1" ht="48.75" customHeight="1">
      <c r="A48" s="1"/>
      <c r="B48" s="50"/>
      <c r="C48" s="50"/>
      <c r="D48" s="916"/>
      <c r="E48" s="919"/>
      <c r="F48" s="134"/>
      <c r="G48" s="922"/>
      <c r="H48" s="925"/>
      <c r="I48" s="392"/>
      <c r="J48" s="163" t="s">
        <v>1</v>
      </c>
      <c r="K48" s="433" t="s">
        <v>4</v>
      </c>
      <c r="L48" s="111">
        <f t="shared" si="1"/>
        <v>43268508</v>
      </c>
      <c r="M48" s="119">
        <f>43954192+42700+200000-1000000</f>
        <v>43196892</v>
      </c>
      <c r="N48" s="116">
        <v>71616</v>
      </c>
      <c r="O48" s="116"/>
    </row>
    <row r="49" spans="1:15" s="40" customFormat="1" ht="48.75" customHeight="1">
      <c r="A49" s="1"/>
      <c r="B49" s="50"/>
      <c r="C49" s="50"/>
      <c r="D49" s="229" t="s">
        <v>767</v>
      </c>
      <c r="E49" s="123">
        <v>5041</v>
      </c>
      <c r="F49" s="134"/>
      <c r="G49" s="219" t="s">
        <v>724</v>
      </c>
      <c r="H49" s="354" t="s">
        <v>428</v>
      </c>
      <c r="I49" s="392"/>
      <c r="J49" s="163" t="s">
        <v>1</v>
      </c>
      <c r="K49" s="433" t="s">
        <v>4</v>
      </c>
      <c r="L49" s="111">
        <f t="shared" si="1"/>
        <v>14019300</v>
      </c>
      <c r="M49" s="119">
        <f>8119300+6000000-100000</f>
        <v>14019300</v>
      </c>
      <c r="N49" s="116"/>
      <c r="O49" s="116"/>
    </row>
    <row r="50" spans="1:15" s="40" customFormat="1" ht="48" customHeight="1">
      <c r="A50" s="1"/>
      <c r="B50" s="50"/>
      <c r="C50" s="50"/>
      <c r="D50" s="914" t="s">
        <v>765</v>
      </c>
      <c r="E50" s="917">
        <v>5062</v>
      </c>
      <c r="F50" s="134"/>
      <c r="G50" s="920" t="s">
        <v>724</v>
      </c>
      <c r="H50" s="923" t="s">
        <v>852</v>
      </c>
      <c r="I50" s="392"/>
      <c r="J50" s="163" t="s">
        <v>706</v>
      </c>
      <c r="K50" s="433" t="s">
        <v>173</v>
      </c>
      <c r="L50" s="111">
        <f t="shared" si="1"/>
        <v>1634600</v>
      </c>
      <c r="M50" s="119">
        <f>202600+1432000</f>
        <v>1634600</v>
      </c>
      <c r="N50" s="116"/>
      <c r="O50" s="116"/>
    </row>
    <row r="51" spans="1:15" s="40" customFormat="1" ht="18.75" customHeight="1">
      <c r="A51" s="1"/>
      <c r="B51" s="50"/>
      <c r="C51" s="50"/>
      <c r="D51" s="916"/>
      <c r="E51" s="919"/>
      <c r="F51" s="134"/>
      <c r="G51" s="922"/>
      <c r="H51" s="925"/>
      <c r="I51" s="392"/>
      <c r="J51" s="923" t="s">
        <v>1</v>
      </c>
      <c r="K51" s="926" t="s">
        <v>4</v>
      </c>
      <c r="L51" s="111">
        <f t="shared" si="1"/>
        <v>5304136</v>
      </c>
      <c r="M51" s="119">
        <f>4874136+3600000+1000000-1200000-1470000-1000000-500000</f>
        <v>5304136</v>
      </c>
      <c r="N51" s="116"/>
      <c r="O51" s="116"/>
    </row>
    <row r="52" spans="1:15" s="40" customFormat="1" ht="26.25" customHeight="1">
      <c r="A52" s="1"/>
      <c r="B52" s="50"/>
      <c r="C52" s="50"/>
      <c r="D52" s="229" t="s">
        <v>764</v>
      </c>
      <c r="E52" s="123">
        <v>5063</v>
      </c>
      <c r="F52" s="134"/>
      <c r="G52" s="219" t="s">
        <v>724</v>
      </c>
      <c r="H52" s="354" t="s">
        <v>896</v>
      </c>
      <c r="I52" s="392"/>
      <c r="J52" s="925"/>
      <c r="K52" s="927"/>
      <c r="L52" s="111">
        <f t="shared" si="1"/>
        <v>1268259</v>
      </c>
      <c r="M52" s="119">
        <v>1268259</v>
      </c>
      <c r="N52" s="116"/>
      <c r="O52" s="116"/>
    </row>
    <row r="53" spans="1:15" s="40" customFormat="1" ht="60.75" customHeight="1">
      <c r="A53" s="1"/>
      <c r="B53" s="50" t="s">
        <v>840</v>
      </c>
      <c r="C53" s="50"/>
      <c r="D53" s="44" t="s">
        <v>517</v>
      </c>
      <c r="E53" s="101">
        <v>6084</v>
      </c>
      <c r="F53" s="134" t="s">
        <v>354</v>
      </c>
      <c r="G53" s="109" t="s">
        <v>355</v>
      </c>
      <c r="H53" s="163" t="s">
        <v>518</v>
      </c>
      <c r="I53" s="296" t="s">
        <v>356</v>
      </c>
      <c r="J53" s="956" t="s">
        <v>520</v>
      </c>
      <c r="K53" s="954" t="s">
        <v>681</v>
      </c>
      <c r="L53" s="111">
        <f t="shared" si="1"/>
        <v>198707.66</v>
      </c>
      <c r="M53" s="112">
        <f>'дод.3'!E80</f>
        <v>134926</v>
      </c>
      <c r="N53" s="112">
        <f>'дод.3'!M80</f>
        <v>63781.66</v>
      </c>
      <c r="O53" s="116"/>
    </row>
    <row r="54" spans="1:15" s="40" customFormat="1" ht="52.5" customHeight="1">
      <c r="A54" s="1"/>
      <c r="B54" s="50" t="s">
        <v>841</v>
      </c>
      <c r="C54" s="50"/>
      <c r="D54" s="44" t="s">
        <v>519</v>
      </c>
      <c r="E54" s="101">
        <v>8821</v>
      </c>
      <c r="F54" s="134">
        <v>250913</v>
      </c>
      <c r="G54" s="109" t="s">
        <v>355</v>
      </c>
      <c r="H54" s="163" t="s">
        <v>690</v>
      </c>
      <c r="I54" s="296" t="s">
        <v>447</v>
      </c>
      <c r="J54" s="957"/>
      <c r="K54" s="955"/>
      <c r="L54" s="111" t="e">
        <f t="shared" si="1"/>
        <v>#REF!</v>
      </c>
      <c r="M54" s="112" t="e">
        <f>#REF!</f>
        <v>#REF!</v>
      </c>
      <c r="N54" s="112" t="e">
        <f>#REF!</f>
        <v>#REF!</v>
      </c>
      <c r="O54" s="116"/>
    </row>
    <row r="55" spans="2:15" ht="33" customHeight="1">
      <c r="B55" s="50">
        <v>1500000</v>
      </c>
      <c r="C55" s="50"/>
      <c r="D55" s="376" t="s">
        <v>763</v>
      </c>
      <c r="E55" s="377"/>
      <c r="F55" s="376"/>
      <c r="G55" s="376"/>
      <c r="H55" s="114" t="s">
        <v>449</v>
      </c>
      <c r="I55" s="114" t="s">
        <v>329</v>
      </c>
      <c r="J55" s="393"/>
      <c r="K55" s="393"/>
      <c r="L55" s="223">
        <f>M55+N55</f>
        <v>341516051.65000004</v>
      </c>
      <c r="M55" s="223">
        <f>M56</f>
        <v>341516051.65000004</v>
      </c>
      <c r="N55" s="223">
        <f>N56</f>
        <v>0</v>
      </c>
      <c r="O55" s="223">
        <f>O56</f>
        <v>0</v>
      </c>
    </row>
    <row r="56" spans="2:15" ht="33" customHeight="1">
      <c r="B56" s="50">
        <v>1500000</v>
      </c>
      <c r="C56" s="50"/>
      <c r="D56" s="376" t="s">
        <v>761</v>
      </c>
      <c r="E56" s="377"/>
      <c r="F56" s="376"/>
      <c r="G56" s="376"/>
      <c r="H56" s="114" t="s">
        <v>449</v>
      </c>
      <c r="I56" s="114" t="s">
        <v>329</v>
      </c>
      <c r="J56" s="393"/>
      <c r="K56" s="393"/>
      <c r="L56" s="223">
        <f>M56+N56</f>
        <v>341516051.65000004</v>
      </c>
      <c r="M56" s="223">
        <f>M57+M65+M68+M71+M72+M77+M78+M82+M76</f>
        <v>341516051.65000004</v>
      </c>
      <c r="N56" s="223">
        <f>N57+N66+N68+N82</f>
        <v>0</v>
      </c>
      <c r="O56" s="223">
        <f>O57+O66+O68+O82+O74+O75</f>
        <v>0</v>
      </c>
    </row>
    <row r="57" spans="2:15" ht="13.5">
      <c r="B57" s="50"/>
      <c r="C57" s="50"/>
      <c r="D57" s="914" t="s">
        <v>131</v>
      </c>
      <c r="E57" s="920" t="s">
        <v>451</v>
      </c>
      <c r="F57" s="366"/>
      <c r="G57" s="920" t="s">
        <v>331</v>
      </c>
      <c r="H57" s="952" t="s">
        <v>452</v>
      </c>
      <c r="I57" s="237"/>
      <c r="J57" s="394"/>
      <c r="K57" s="394"/>
      <c r="L57" s="125">
        <f>M57+N57</f>
        <v>187403785.31</v>
      </c>
      <c r="M57" s="124">
        <f>SUM(M58:M64)</f>
        <v>187403785.31</v>
      </c>
      <c r="N57" s="124">
        <f>SUM(N58:N64)</f>
        <v>0</v>
      </c>
      <c r="O57" s="124"/>
    </row>
    <row r="58" spans="2:15" ht="47.25" customHeight="1" hidden="1">
      <c r="B58" s="50"/>
      <c r="C58" s="50"/>
      <c r="D58" s="915"/>
      <c r="E58" s="921"/>
      <c r="F58" s="992" t="s">
        <v>330</v>
      </c>
      <c r="G58" s="921"/>
      <c r="H58" s="953"/>
      <c r="I58" s="952" t="s">
        <v>453</v>
      </c>
      <c r="J58" s="135" t="s">
        <v>707</v>
      </c>
      <c r="K58" s="117" t="s">
        <v>660</v>
      </c>
      <c r="L58" s="125">
        <f aca="true" t="shared" si="2" ref="L58:L82">M58+N58</f>
        <v>0</v>
      </c>
      <c r="M58" s="124">
        <f>1532174-1532174</f>
        <v>0</v>
      </c>
      <c r="N58" s="125"/>
      <c r="O58" s="124"/>
    </row>
    <row r="59" spans="2:15" ht="46.5" customHeight="1">
      <c r="B59" s="50"/>
      <c r="C59" s="50"/>
      <c r="D59" s="915"/>
      <c r="E59" s="921"/>
      <c r="F59" s="993"/>
      <c r="G59" s="921"/>
      <c r="H59" s="953"/>
      <c r="I59" s="953"/>
      <c r="J59" s="395" t="s">
        <v>220</v>
      </c>
      <c r="K59" s="298" t="s">
        <v>221</v>
      </c>
      <c r="L59" s="125">
        <f t="shared" si="2"/>
        <v>180281410.31</v>
      </c>
      <c r="M59" s="124">
        <f>155026466+542716+21198656.41+33071.9+2500000+980500</f>
        <v>180281410.31</v>
      </c>
      <c r="N59" s="125"/>
      <c r="O59" s="124"/>
    </row>
    <row r="60" spans="2:15" ht="50.25" customHeight="1">
      <c r="B60" s="50"/>
      <c r="C60" s="50"/>
      <c r="D60" s="915"/>
      <c r="E60" s="921"/>
      <c r="F60" s="993"/>
      <c r="G60" s="921"/>
      <c r="H60" s="953"/>
      <c r="I60" s="953"/>
      <c r="J60" s="285" t="s">
        <v>222</v>
      </c>
      <c r="K60" s="117" t="s">
        <v>175</v>
      </c>
      <c r="L60" s="125">
        <f t="shared" si="2"/>
        <v>2265606</v>
      </c>
      <c r="M60" s="124">
        <f>6038886-218540-3554740</f>
        <v>2265606</v>
      </c>
      <c r="N60" s="124"/>
      <c r="O60" s="124"/>
    </row>
    <row r="61" spans="2:15" ht="60.75" customHeight="1">
      <c r="B61" s="50"/>
      <c r="C61" s="50"/>
      <c r="D61" s="915"/>
      <c r="E61" s="921"/>
      <c r="F61" s="993"/>
      <c r="G61" s="921"/>
      <c r="H61" s="953"/>
      <c r="I61" s="953"/>
      <c r="J61" s="135" t="s">
        <v>223</v>
      </c>
      <c r="K61" s="117" t="s">
        <v>709</v>
      </c>
      <c r="L61" s="125">
        <f t="shared" si="2"/>
        <v>931947</v>
      </c>
      <c r="M61" s="124">
        <f>968609-36662</f>
        <v>931947</v>
      </c>
      <c r="N61" s="124"/>
      <c r="O61" s="124"/>
    </row>
    <row r="62" spans="2:17" ht="51" customHeight="1" hidden="1">
      <c r="B62" s="50"/>
      <c r="C62" s="50"/>
      <c r="D62" s="915"/>
      <c r="E62" s="921"/>
      <c r="F62" s="993"/>
      <c r="G62" s="921"/>
      <c r="H62" s="953"/>
      <c r="I62" s="953"/>
      <c r="J62" s="135" t="s">
        <v>559</v>
      </c>
      <c r="K62" s="117" t="s">
        <v>558</v>
      </c>
      <c r="L62" s="125">
        <f t="shared" si="2"/>
        <v>0</v>
      </c>
      <c r="M62" s="124"/>
      <c r="N62" s="124"/>
      <c r="O62" s="124"/>
      <c r="Q62" s="242"/>
    </row>
    <row r="63" spans="2:17" ht="54" customHeight="1">
      <c r="B63" s="50"/>
      <c r="C63" s="50"/>
      <c r="D63" s="915"/>
      <c r="E63" s="921"/>
      <c r="F63" s="993"/>
      <c r="G63" s="921"/>
      <c r="H63" s="953"/>
      <c r="I63" s="953"/>
      <c r="J63" s="135" t="s">
        <v>258</v>
      </c>
      <c r="K63" s="117" t="s">
        <v>945</v>
      </c>
      <c r="L63" s="125">
        <f t="shared" si="2"/>
        <v>3000000</v>
      </c>
      <c r="M63" s="124">
        <v>3000000</v>
      </c>
      <c r="N63" s="124"/>
      <c r="O63" s="124"/>
      <c r="Q63" s="242"/>
    </row>
    <row r="64" spans="2:17" ht="27">
      <c r="B64" s="50"/>
      <c r="C64" s="50"/>
      <c r="D64" s="915"/>
      <c r="E64" s="921"/>
      <c r="F64" s="993"/>
      <c r="G64" s="921"/>
      <c r="H64" s="953"/>
      <c r="I64" s="953"/>
      <c r="J64" s="356" t="s">
        <v>708</v>
      </c>
      <c r="K64" s="345" t="s">
        <v>661</v>
      </c>
      <c r="L64" s="341">
        <f t="shared" si="2"/>
        <v>924822</v>
      </c>
      <c r="M64" s="342">
        <v>924822</v>
      </c>
      <c r="N64" s="343"/>
      <c r="O64" s="343"/>
      <c r="Q64" s="243"/>
    </row>
    <row r="65" spans="2:17" ht="13.5">
      <c r="B65" s="50"/>
      <c r="C65" s="50"/>
      <c r="D65" s="936" t="s">
        <v>795</v>
      </c>
      <c r="E65" s="991">
        <v>2030</v>
      </c>
      <c r="F65" s="134"/>
      <c r="G65" s="937" t="s">
        <v>903</v>
      </c>
      <c r="H65" s="923" t="s">
        <v>544</v>
      </c>
      <c r="I65" s="296"/>
      <c r="J65" s="135"/>
      <c r="K65" s="117"/>
      <c r="L65" s="125"/>
      <c r="M65" s="112">
        <f>M66+M67</f>
        <v>41163718.39</v>
      </c>
      <c r="N65" s="124"/>
      <c r="O65" s="124"/>
      <c r="Q65" s="243"/>
    </row>
    <row r="66" spans="2:17" ht="42" customHeight="1">
      <c r="B66" s="50"/>
      <c r="C66" s="50"/>
      <c r="D66" s="936"/>
      <c r="E66" s="991"/>
      <c r="F66" s="134" t="s">
        <v>332</v>
      </c>
      <c r="G66" s="937"/>
      <c r="H66" s="924"/>
      <c r="I66" s="396" t="s">
        <v>904</v>
      </c>
      <c r="J66" s="135" t="s">
        <v>559</v>
      </c>
      <c r="K66" s="117" t="s">
        <v>946</v>
      </c>
      <c r="L66" s="125">
        <f t="shared" si="2"/>
        <v>554026.3899999999</v>
      </c>
      <c r="M66" s="124">
        <f>2010764-1456737.61</f>
        <v>554026.3899999999</v>
      </c>
      <c r="N66" s="124"/>
      <c r="O66" s="124"/>
      <c r="Q66" s="242"/>
    </row>
    <row r="67" spans="2:17" ht="42.75" customHeight="1">
      <c r="B67" s="50"/>
      <c r="C67" s="50"/>
      <c r="D67" s="936"/>
      <c r="E67" s="991"/>
      <c r="F67" s="134"/>
      <c r="G67" s="937"/>
      <c r="H67" s="925"/>
      <c r="I67" s="396"/>
      <c r="J67" s="397" t="s">
        <v>224</v>
      </c>
      <c r="K67" s="298" t="s">
        <v>225</v>
      </c>
      <c r="L67" s="125">
        <f t="shared" si="2"/>
        <v>40609692</v>
      </c>
      <c r="M67" s="124">
        <f>38855817+1753875</f>
        <v>40609692</v>
      </c>
      <c r="N67" s="124"/>
      <c r="O67" s="124"/>
      <c r="Q67" s="242"/>
    </row>
    <row r="68" spans="2:17" ht="13.5">
      <c r="B68" s="50"/>
      <c r="C68" s="50"/>
      <c r="D68" s="914" t="s">
        <v>796</v>
      </c>
      <c r="E68" s="920" t="s">
        <v>553</v>
      </c>
      <c r="F68" s="992" t="s">
        <v>905</v>
      </c>
      <c r="G68" s="920" t="s">
        <v>906</v>
      </c>
      <c r="H68" s="952" t="s">
        <v>762</v>
      </c>
      <c r="I68" s="952" t="s">
        <v>470</v>
      </c>
      <c r="J68" s="135"/>
      <c r="K68" s="135"/>
      <c r="L68" s="125">
        <f t="shared" si="2"/>
        <v>59760801.6</v>
      </c>
      <c r="M68" s="124">
        <f>SUM(M69:M70)</f>
        <v>59760801.6</v>
      </c>
      <c r="N68" s="124"/>
      <c r="O68" s="124"/>
      <c r="Q68" s="242"/>
    </row>
    <row r="69" spans="2:15" ht="45.75" customHeight="1">
      <c r="B69" s="50"/>
      <c r="C69" s="50"/>
      <c r="D69" s="915"/>
      <c r="E69" s="921"/>
      <c r="F69" s="993"/>
      <c r="G69" s="921"/>
      <c r="H69" s="953"/>
      <c r="I69" s="953"/>
      <c r="J69" s="397" t="s">
        <v>226</v>
      </c>
      <c r="K69" s="298" t="s">
        <v>227</v>
      </c>
      <c r="L69" s="125">
        <f t="shared" si="2"/>
        <v>51962306.6</v>
      </c>
      <c r="M69" s="124">
        <f>43141333+9924850-1103876.4</f>
        <v>51962306.6</v>
      </c>
      <c r="N69" s="124"/>
      <c r="O69" s="124"/>
    </row>
    <row r="70" spans="2:15" ht="45" customHeight="1">
      <c r="B70" s="50"/>
      <c r="C70" s="50"/>
      <c r="D70" s="916"/>
      <c r="E70" s="922"/>
      <c r="F70" s="994"/>
      <c r="G70" s="922"/>
      <c r="H70" s="976"/>
      <c r="I70" s="976"/>
      <c r="J70" s="397" t="s">
        <v>228</v>
      </c>
      <c r="K70" s="298" t="s">
        <v>229</v>
      </c>
      <c r="L70" s="125">
        <f t="shared" si="2"/>
        <v>7798495</v>
      </c>
      <c r="M70" s="124">
        <v>7798495</v>
      </c>
      <c r="N70" s="124"/>
      <c r="O70" s="124"/>
    </row>
    <row r="71" spans="2:15" ht="48.75" customHeight="1">
      <c r="B71" s="50"/>
      <c r="C71" s="50"/>
      <c r="D71" s="355" t="s">
        <v>798</v>
      </c>
      <c r="E71" s="344" t="s">
        <v>147</v>
      </c>
      <c r="F71" s="367"/>
      <c r="G71" s="344" t="s">
        <v>907</v>
      </c>
      <c r="H71" s="364" t="s">
        <v>797</v>
      </c>
      <c r="I71" s="364"/>
      <c r="J71" s="398" t="s">
        <v>230</v>
      </c>
      <c r="K71" s="435" t="s">
        <v>231</v>
      </c>
      <c r="L71" s="341">
        <f>M71+N71</f>
        <v>9603966.64</v>
      </c>
      <c r="M71" s="343">
        <f>12950640+1000000-4346673.36</f>
        <v>9603966.64</v>
      </c>
      <c r="N71" s="343"/>
      <c r="O71" s="343"/>
    </row>
    <row r="72" spans="2:15" ht="13.5">
      <c r="B72" s="50"/>
      <c r="C72" s="50"/>
      <c r="D72" s="936" t="s">
        <v>594</v>
      </c>
      <c r="E72" s="937" t="s">
        <v>596</v>
      </c>
      <c r="F72" s="134"/>
      <c r="G72" s="937" t="s">
        <v>595</v>
      </c>
      <c r="H72" s="1000" t="s">
        <v>593</v>
      </c>
      <c r="I72" s="296"/>
      <c r="J72" s="397"/>
      <c r="K72" s="298"/>
      <c r="L72" s="125">
        <f>SUM(L73:L75)</f>
        <v>11220248</v>
      </c>
      <c r="M72" s="124">
        <f>SUM(M73:M75)</f>
        <v>11220248</v>
      </c>
      <c r="N72" s="124"/>
      <c r="O72" s="124"/>
    </row>
    <row r="73" spans="2:15" ht="48" customHeight="1">
      <c r="B73" s="50"/>
      <c r="C73" s="50"/>
      <c r="D73" s="936"/>
      <c r="E73" s="937"/>
      <c r="F73" s="134"/>
      <c r="G73" s="937"/>
      <c r="H73" s="1000"/>
      <c r="I73" s="296"/>
      <c r="J73" s="397" t="s">
        <v>232</v>
      </c>
      <c r="K73" s="298" t="s">
        <v>233</v>
      </c>
      <c r="L73" s="125">
        <f t="shared" si="2"/>
        <v>3940085</v>
      </c>
      <c r="M73" s="124">
        <v>3940085</v>
      </c>
      <c r="N73" s="124"/>
      <c r="O73" s="124"/>
    </row>
    <row r="74" spans="2:15" ht="59.25" customHeight="1">
      <c r="B74" s="50"/>
      <c r="C74" s="50"/>
      <c r="D74" s="936"/>
      <c r="E74" s="937"/>
      <c r="F74" s="134"/>
      <c r="G74" s="937"/>
      <c r="H74" s="1000"/>
      <c r="I74" s="296"/>
      <c r="J74" s="135" t="s">
        <v>223</v>
      </c>
      <c r="K74" s="117" t="s">
        <v>709</v>
      </c>
      <c r="L74" s="125">
        <f t="shared" si="2"/>
        <v>36662</v>
      </c>
      <c r="M74" s="124">
        <v>36662</v>
      </c>
      <c r="N74" s="124"/>
      <c r="O74" s="124"/>
    </row>
    <row r="75" spans="2:15" ht="54" customHeight="1">
      <c r="B75" s="50"/>
      <c r="C75" s="50"/>
      <c r="D75" s="936"/>
      <c r="E75" s="937"/>
      <c r="F75" s="134"/>
      <c r="G75" s="937"/>
      <c r="H75" s="1000"/>
      <c r="I75" s="296"/>
      <c r="J75" s="135" t="s">
        <v>708</v>
      </c>
      <c r="K75" s="117" t="s">
        <v>263</v>
      </c>
      <c r="L75" s="125">
        <f t="shared" si="2"/>
        <v>7243501</v>
      </c>
      <c r="M75" s="124">
        <v>7243501</v>
      </c>
      <c r="N75" s="124"/>
      <c r="O75" s="124"/>
    </row>
    <row r="76" spans="2:15" ht="27">
      <c r="B76" s="50"/>
      <c r="C76" s="50"/>
      <c r="D76" s="229" t="s">
        <v>315</v>
      </c>
      <c r="E76" s="219" t="s">
        <v>156</v>
      </c>
      <c r="F76" s="368"/>
      <c r="G76" s="219" t="s">
        <v>333</v>
      </c>
      <c r="H76" s="365" t="s">
        <v>312</v>
      </c>
      <c r="I76" s="365"/>
      <c r="J76" s="442" t="s">
        <v>261</v>
      </c>
      <c r="K76" s="117" t="s">
        <v>260</v>
      </c>
      <c r="L76" s="125">
        <f>M76+N76</f>
        <v>16370989.85</v>
      </c>
      <c r="M76" s="124">
        <f>8748615.85+767517+6854857</f>
        <v>16370989.85</v>
      </c>
      <c r="N76" s="124"/>
      <c r="O76" s="124"/>
    </row>
    <row r="77" spans="2:15" ht="51" customHeight="1">
      <c r="B77" s="50"/>
      <c r="C77" s="50"/>
      <c r="D77" s="229" t="s">
        <v>753</v>
      </c>
      <c r="E77" s="219" t="s">
        <v>149</v>
      </c>
      <c r="F77" s="368"/>
      <c r="G77" s="219" t="s">
        <v>333</v>
      </c>
      <c r="H77" s="365" t="s">
        <v>754</v>
      </c>
      <c r="I77" s="365"/>
      <c r="J77" s="397" t="s">
        <v>927</v>
      </c>
      <c r="K77" s="298" t="s">
        <v>234</v>
      </c>
      <c r="L77" s="125">
        <f t="shared" si="2"/>
        <v>1000000</v>
      </c>
      <c r="M77" s="124">
        <v>1000000</v>
      </c>
      <c r="N77" s="124"/>
      <c r="O77" s="124"/>
    </row>
    <row r="78" spans="2:15" ht="13.5">
      <c r="B78" s="50"/>
      <c r="C78" s="50"/>
      <c r="D78" s="914" t="s">
        <v>756</v>
      </c>
      <c r="E78" s="920" t="s">
        <v>148</v>
      </c>
      <c r="F78" s="368"/>
      <c r="G78" s="920" t="s">
        <v>333</v>
      </c>
      <c r="H78" s="952" t="s">
        <v>755</v>
      </c>
      <c r="I78" s="365"/>
      <c r="J78" s="397"/>
      <c r="K78" s="298"/>
      <c r="L78" s="125">
        <f>M78</f>
        <v>14901341.86</v>
      </c>
      <c r="M78" s="124">
        <f>M79+M81+M80</f>
        <v>14901341.86</v>
      </c>
      <c r="N78" s="124"/>
      <c r="O78" s="124"/>
    </row>
    <row r="79" spans="2:15" ht="50.25" customHeight="1">
      <c r="B79" s="50"/>
      <c r="C79" s="50"/>
      <c r="D79" s="915"/>
      <c r="E79" s="921"/>
      <c r="F79" s="368"/>
      <c r="G79" s="921"/>
      <c r="H79" s="953"/>
      <c r="I79" s="365"/>
      <c r="J79" s="397" t="s">
        <v>944</v>
      </c>
      <c r="K79" s="298" t="s">
        <v>235</v>
      </c>
      <c r="L79" s="125">
        <f t="shared" si="2"/>
        <v>5353053.51</v>
      </c>
      <c r="M79" s="124">
        <f>1059364+4293689.51</f>
        <v>5353053.51</v>
      </c>
      <c r="N79" s="124"/>
      <c r="O79" s="124"/>
    </row>
    <row r="80" spans="2:15" ht="50.25" customHeight="1">
      <c r="B80" s="50"/>
      <c r="C80" s="50"/>
      <c r="D80" s="915"/>
      <c r="E80" s="921"/>
      <c r="F80" s="368"/>
      <c r="G80" s="921"/>
      <c r="H80" s="953"/>
      <c r="I80" s="365"/>
      <c r="J80" s="379" t="s">
        <v>712</v>
      </c>
      <c r="K80" s="101" t="s">
        <v>670</v>
      </c>
      <c r="L80" s="125">
        <f t="shared" si="2"/>
        <v>1156860.25</v>
      </c>
      <c r="M80" s="124">
        <v>1156860.25</v>
      </c>
      <c r="N80" s="124"/>
      <c r="O80" s="124"/>
    </row>
    <row r="81" spans="2:15" ht="75" customHeight="1">
      <c r="B81" s="50"/>
      <c r="C81" s="50"/>
      <c r="D81" s="916"/>
      <c r="E81" s="922"/>
      <c r="F81" s="368"/>
      <c r="G81" s="922"/>
      <c r="H81" s="976"/>
      <c r="I81" s="365"/>
      <c r="J81" s="397" t="s">
        <v>257</v>
      </c>
      <c r="K81" s="298" t="s">
        <v>259</v>
      </c>
      <c r="L81" s="125">
        <f t="shared" si="2"/>
        <v>8391428.1</v>
      </c>
      <c r="M81" s="124">
        <f>8424500-1199509.7+1166437.8</f>
        <v>8391428.1</v>
      </c>
      <c r="N81" s="124"/>
      <c r="O81" s="124"/>
    </row>
    <row r="82" spans="2:15" ht="59.25" customHeight="1">
      <c r="B82" s="50"/>
      <c r="C82" s="50"/>
      <c r="D82" s="229" t="s">
        <v>607</v>
      </c>
      <c r="E82" s="219" t="s">
        <v>440</v>
      </c>
      <c r="F82" s="368"/>
      <c r="G82" s="219" t="s">
        <v>472</v>
      </c>
      <c r="H82" s="365" t="s">
        <v>438</v>
      </c>
      <c r="I82" s="365"/>
      <c r="J82" s="135" t="s">
        <v>565</v>
      </c>
      <c r="K82" s="117" t="s">
        <v>566</v>
      </c>
      <c r="L82" s="125">
        <f t="shared" si="2"/>
        <v>91200</v>
      </c>
      <c r="M82" s="124">
        <f>'дод.3'!E139</f>
        <v>91200</v>
      </c>
      <c r="N82" s="124"/>
      <c r="O82" s="124"/>
    </row>
    <row r="83" spans="2:15" ht="18.75" customHeight="1">
      <c r="B83" s="50" t="s">
        <v>817</v>
      </c>
      <c r="C83" s="50"/>
      <c r="D83" s="376" t="s">
        <v>128</v>
      </c>
      <c r="E83" s="377"/>
      <c r="F83" s="377"/>
      <c r="G83" s="377"/>
      <c r="H83" s="114" t="s">
        <v>372</v>
      </c>
      <c r="I83" s="114" t="s">
        <v>818</v>
      </c>
      <c r="J83" s="399"/>
      <c r="K83" s="399"/>
      <c r="L83" s="126">
        <f aca="true" t="shared" si="3" ref="L83:L88">M83+N83</f>
        <v>62126240.47</v>
      </c>
      <c r="M83" s="126">
        <f>M84</f>
        <v>62126240.47</v>
      </c>
      <c r="N83" s="126">
        <f>N84</f>
        <v>0</v>
      </c>
      <c r="O83" s="126">
        <f>O84</f>
        <v>0</v>
      </c>
    </row>
    <row r="84" spans="2:15" ht="18.75" customHeight="1">
      <c r="B84" s="50" t="s">
        <v>817</v>
      </c>
      <c r="C84" s="50"/>
      <c r="D84" s="376" t="s">
        <v>129</v>
      </c>
      <c r="E84" s="377"/>
      <c r="F84" s="377"/>
      <c r="G84" s="377"/>
      <c r="H84" s="114" t="s">
        <v>372</v>
      </c>
      <c r="I84" s="114" t="s">
        <v>818</v>
      </c>
      <c r="J84" s="399"/>
      <c r="K84" s="399"/>
      <c r="L84" s="126">
        <f t="shared" si="3"/>
        <v>62126240.47</v>
      </c>
      <c r="M84" s="126">
        <f>SUM(M85:M99)</f>
        <v>62126240.47</v>
      </c>
      <c r="N84" s="126">
        <f>SUM(N89:N99)</f>
        <v>0</v>
      </c>
      <c r="O84" s="126">
        <f>SUM(O86:O99)</f>
        <v>0</v>
      </c>
    </row>
    <row r="85" spans="1:15" s="278" customFormat="1" ht="41.25" customHeight="1">
      <c r="A85" s="275"/>
      <c r="B85" s="206"/>
      <c r="C85" s="206"/>
      <c r="D85" s="400" t="s">
        <v>642</v>
      </c>
      <c r="E85" s="165" t="s">
        <v>643</v>
      </c>
      <c r="F85" s="165"/>
      <c r="G85" s="165" t="s">
        <v>334</v>
      </c>
      <c r="H85" s="279" t="s">
        <v>644</v>
      </c>
      <c r="I85" s="276"/>
      <c r="J85" s="932" t="s">
        <v>23</v>
      </c>
      <c r="K85" s="926" t="s">
        <v>246</v>
      </c>
      <c r="L85" s="129">
        <f t="shared" si="3"/>
        <v>416327</v>
      </c>
      <c r="M85" s="262">
        <f>'дод.3'!E162</f>
        <v>416327</v>
      </c>
      <c r="N85" s="277"/>
      <c r="O85" s="127"/>
    </row>
    <row r="86" spans="2:15" ht="42.75" customHeight="1">
      <c r="B86" s="50"/>
      <c r="C86" s="50"/>
      <c r="D86" s="113" t="s">
        <v>597</v>
      </c>
      <c r="E86" s="122">
        <v>3032</v>
      </c>
      <c r="F86" s="134"/>
      <c r="G86" s="267" t="s">
        <v>820</v>
      </c>
      <c r="H86" s="353" t="s">
        <v>24</v>
      </c>
      <c r="I86" s="396"/>
      <c r="J86" s="933"/>
      <c r="K86" s="928"/>
      <c r="L86" s="129">
        <f t="shared" si="3"/>
        <v>1777490</v>
      </c>
      <c r="M86" s="127">
        <f>'дод.3'!E163</f>
        <v>1777490</v>
      </c>
      <c r="N86" s="128"/>
      <c r="O86" s="127"/>
    </row>
    <row r="87" spans="2:15" ht="48" customHeight="1">
      <c r="B87" s="50"/>
      <c r="C87" s="50"/>
      <c r="D87" s="44" t="s">
        <v>647</v>
      </c>
      <c r="E87" s="101">
        <v>3035</v>
      </c>
      <c r="F87" s="134"/>
      <c r="G87" s="109" t="s">
        <v>820</v>
      </c>
      <c r="H87" s="163" t="s">
        <v>648</v>
      </c>
      <c r="I87" s="396"/>
      <c r="J87" s="934"/>
      <c r="K87" s="927"/>
      <c r="L87" s="129">
        <f t="shared" si="3"/>
        <v>674093</v>
      </c>
      <c r="M87" s="127">
        <f>'дод.3'!E164</f>
        <v>674093</v>
      </c>
      <c r="N87" s="128"/>
      <c r="O87" s="127"/>
    </row>
    <row r="88" spans="2:15" ht="42.75" customHeight="1">
      <c r="B88" s="50"/>
      <c r="C88" s="50"/>
      <c r="D88" s="44" t="s">
        <v>687</v>
      </c>
      <c r="E88" s="101">
        <v>3036</v>
      </c>
      <c r="F88" s="134"/>
      <c r="G88" s="109" t="s">
        <v>820</v>
      </c>
      <c r="H88" s="163" t="s">
        <v>688</v>
      </c>
      <c r="I88" s="396"/>
      <c r="J88" s="401" t="s">
        <v>47</v>
      </c>
      <c r="K88" s="293" t="s">
        <v>653</v>
      </c>
      <c r="L88" s="129">
        <f t="shared" si="3"/>
        <v>22402853</v>
      </c>
      <c r="M88" s="127">
        <f>'дод.3'!E165</f>
        <v>22402853</v>
      </c>
      <c r="N88" s="128"/>
      <c r="O88" s="127"/>
    </row>
    <row r="89" spans="2:15" ht="42" customHeight="1">
      <c r="B89" s="50"/>
      <c r="C89" s="50"/>
      <c r="D89" s="44" t="s">
        <v>111</v>
      </c>
      <c r="E89" s="101">
        <v>3050</v>
      </c>
      <c r="F89" s="134" t="s">
        <v>819</v>
      </c>
      <c r="G89" s="109" t="s">
        <v>820</v>
      </c>
      <c r="H89" s="163" t="s">
        <v>821</v>
      </c>
      <c r="I89" s="396" t="s">
        <v>822</v>
      </c>
      <c r="J89" s="929" t="s">
        <v>752</v>
      </c>
      <c r="K89" s="926" t="s">
        <v>689</v>
      </c>
      <c r="L89" s="129">
        <f aca="true" t="shared" si="4" ref="L89:L99">M89+N89</f>
        <v>434860</v>
      </c>
      <c r="M89" s="127">
        <f>'дод.3'!E183-'дод.3'!E184</f>
        <v>434860</v>
      </c>
      <c r="N89" s="128"/>
      <c r="O89" s="127"/>
    </row>
    <row r="90" spans="2:15" ht="60.75" customHeight="1">
      <c r="B90" s="50"/>
      <c r="C90" s="50"/>
      <c r="D90" s="44" t="s">
        <v>591</v>
      </c>
      <c r="E90" s="101">
        <v>3104</v>
      </c>
      <c r="F90" s="134"/>
      <c r="G90" s="109" t="s">
        <v>502</v>
      </c>
      <c r="H90" s="163" t="s">
        <v>855</v>
      </c>
      <c r="I90" s="396"/>
      <c r="J90" s="931"/>
      <c r="K90" s="927"/>
      <c r="L90" s="129">
        <f t="shared" si="4"/>
        <v>1191228.96</v>
      </c>
      <c r="M90" s="127">
        <f>1241408-50179.04</f>
        <v>1191228.96</v>
      </c>
      <c r="N90" s="128"/>
      <c r="O90" s="127"/>
    </row>
    <row r="91" spans="2:15" ht="59.25" customHeight="1">
      <c r="B91" s="50"/>
      <c r="C91" s="50"/>
      <c r="D91" s="44" t="s">
        <v>381</v>
      </c>
      <c r="E91" s="101">
        <v>3140</v>
      </c>
      <c r="F91" s="134" t="s">
        <v>872</v>
      </c>
      <c r="G91" s="109" t="s">
        <v>719</v>
      </c>
      <c r="H91" s="163" t="s">
        <v>873</v>
      </c>
      <c r="I91" s="296" t="s">
        <v>874</v>
      </c>
      <c r="J91" s="402" t="s">
        <v>157</v>
      </c>
      <c r="K91" s="433" t="s">
        <v>651</v>
      </c>
      <c r="L91" s="129">
        <f t="shared" si="4"/>
        <v>3657756</v>
      </c>
      <c r="M91" s="128">
        <f>'дод.3'!E206</f>
        <v>3657756</v>
      </c>
      <c r="N91" s="128"/>
      <c r="O91" s="127"/>
    </row>
    <row r="92" spans="2:15" ht="77.25" customHeight="1">
      <c r="B92" s="50"/>
      <c r="C92" s="50"/>
      <c r="D92" s="914" t="s">
        <v>590</v>
      </c>
      <c r="E92" s="917">
        <v>3160</v>
      </c>
      <c r="F92" s="368"/>
      <c r="G92" s="920" t="s">
        <v>103</v>
      </c>
      <c r="H92" s="923" t="s">
        <v>69</v>
      </c>
      <c r="I92" s="365"/>
      <c r="J92" s="929" t="s">
        <v>752</v>
      </c>
      <c r="K92" s="926" t="s">
        <v>689</v>
      </c>
      <c r="L92" s="129">
        <f t="shared" si="4"/>
        <v>1979912</v>
      </c>
      <c r="M92" s="128">
        <f>'дод.3'!E207</f>
        <v>1979912</v>
      </c>
      <c r="N92" s="128"/>
      <c r="O92" s="127"/>
    </row>
    <row r="93" spans="2:15" ht="82.5" customHeight="1" hidden="1">
      <c r="B93" s="50"/>
      <c r="C93" s="50"/>
      <c r="D93" s="916"/>
      <c r="E93" s="919"/>
      <c r="F93" s="367"/>
      <c r="G93" s="922"/>
      <c r="H93" s="925"/>
      <c r="I93" s="364"/>
      <c r="J93" s="930"/>
      <c r="K93" s="928"/>
      <c r="L93" s="129">
        <f t="shared" si="4"/>
        <v>0</v>
      </c>
      <c r="M93" s="128"/>
      <c r="N93" s="128"/>
      <c r="O93" s="127"/>
    </row>
    <row r="94" spans="2:15" ht="13.5">
      <c r="B94" s="50"/>
      <c r="C94" s="50"/>
      <c r="D94" s="914" t="s">
        <v>589</v>
      </c>
      <c r="E94" s="920" t="s">
        <v>373</v>
      </c>
      <c r="F94" s="992" t="s">
        <v>746</v>
      </c>
      <c r="G94" s="920" t="s">
        <v>355</v>
      </c>
      <c r="H94" s="952" t="s">
        <v>382</v>
      </c>
      <c r="I94" s="952" t="s">
        <v>747</v>
      </c>
      <c r="J94" s="931"/>
      <c r="K94" s="927"/>
      <c r="L94" s="129">
        <f t="shared" si="4"/>
        <v>1949140</v>
      </c>
      <c r="M94" s="127">
        <v>1949140</v>
      </c>
      <c r="N94" s="128"/>
      <c r="O94" s="127"/>
    </row>
    <row r="95" spans="2:15" ht="90" customHeight="1">
      <c r="B95" s="50"/>
      <c r="C95" s="50"/>
      <c r="D95" s="916"/>
      <c r="E95" s="922"/>
      <c r="F95" s="994"/>
      <c r="G95" s="922"/>
      <c r="H95" s="976"/>
      <c r="I95" s="976"/>
      <c r="J95" s="381" t="s">
        <v>245</v>
      </c>
      <c r="K95" s="433" t="s">
        <v>674</v>
      </c>
      <c r="L95" s="129">
        <f t="shared" si="4"/>
        <v>147300</v>
      </c>
      <c r="M95" s="127">
        <v>147300</v>
      </c>
      <c r="N95" s="128"/>
      <c r="O95" s="127"/>
    </row>
    <row r="96" spans="1:15" s="40" customFormat="1" ht="44.25" customHeight="1">
      <c r="A96" s="1"/>
      <c r="B96" s="50"/>
      <c r="C96" s="50"/>
      <c r="D96" s="44" t="s">
        <v>71</v>
      </c>
      <c r="E96" s="101">
        <v>3192</v>
      </c>
      <c r="F96" s="134" t="s">
        <v>801</v>
      </c>
      <c r="G96" s="109" t="s">
        <v>334</v>
      </c>
      <c r="H96" s="163" t="s">
        <v>320</v>
      </c>
      <c r="I96" s="396" t="s">
        <v>802</v>
      </c>
      <c r="J96" s="256" t="s">
        <v>752</v>
      </c>
      <c r="K96" s="436" t="s">
        <v>689</v>
      </c>
      <c r="L96" s="129">
        <f t="shared" si="4"/>
        <v>871298</v>
      </c>
      <c r="M96" s="127">
        <f>'дод.3'!E215</f>
        <v>871298</v>
      </c>
      <c r="N96" s="127"/>
      <c r="O96" s="127"/>
    </row>
    <row r="97" spans="1:15" s="40" customFormat="1" ht="44.25" customHeight="1">
      <c r="A97" s="1"/>
      <c r="B97" s="50"/>
      <c r="C97" s="50"/>
      <c r="D97" s="113" t="s">
        <v>300</v>
      </c>
      <c r="E97" s="122">
        <v>3210</v>
      </c>
      <c r="F97" s="137"/>
      <c r="G97" s="267" t="s">
        <v>827</v>
      </c>
      <c r="H97" s="353" t="s">
        <v>545</v>
      </c>
      <c r="I97" s="403"/>
      <c r="J97" s="261" t="s">
        <v>880</v>
      </c>
      <c r="K97" s="436" t="s">
        <v>204</v>
      </c>
      <c r="L97" s="129">
        <f t="shared" si="4"/>
        <v>575000</v>
      </c>
      <c r="M97" s="127">
        <f>'дод.3'!E216</f>
        <v>575000</v>
      </c>
      <c r="N97" s="127"/>
      <c r="O97" s="127"/>
    </row>
    <row r="98" spans="2:15" ht="44.25" customHeight="1">
      <c r="B98" s="50"/>
      <c r="C98" s="50"/>
      <c r="D98" s="914" t="s">
        <v>74</v>
      </c>
      <c r="E98" s="920" t="s">
        <v>727</v>
      </c>
      <c r="F98" s="992" t="s">
        <v>823</v>
      </c>
      <c r="G98" s="920" t="s">
        <v>824</v>
      </c>
      <c r="H98" s="952" t="s">
        <v>75</v>
      </c>
      <c r="I98" s="952" t="s">
        <v>825</v>
      </c>
      <c r="J98" s="230" t="s">
        <v>752</v>
      </c>
      <c r="K98" s="433" t="s">
        <v>689</v>
      </c>
      <c r="L98" s="129">
        <f t="shared" si="4"/>
        <v>10134526.51</v>
      </c>
      <c r="M98" s="128">
        <f>10731996-230209.9-69640-13050+16000-94013+183120-56097-333579.59</f>
        <v>10134526.51</v>
      </c>
      <c r="N98" s="128"/>
      <c r="O98" s="127"/>
    </row>
    <row r="99" spans="2:15" ht="88.5" customHeight="1">
      <c r="B99" s="50"/>
      <c r="C99" s="50"/>
      <c r="D99" s="916"/>
      <c r="E99" s="922"/>
      <c r="F99" s="994"/>
      <c r="G99" s="922"/>
      <c r="H99" s="976"/>
      <c r="I99" s="976"/>
      <c r="J99" s="381" t="s">
        <v>36</v>
      </c>
      <c r="K99" s="433" t="s">
        <v>674</v>
      </c>
      <c r="L99" s="129">
        <f t="shared" si="4"/>
        <v>15914456</v>
      </c>
      <c r="M99" s="128">
        <v>15914456</v>
      </c>
      <c r="N99" s="128"/>
      <c r="O99" s="127"/>
    </row>
    <row r="100" spans="2:15" ht="27">
      <c r="B100" s="50"/>
      <c r="C100" s="50"/>
      <c r="D100" s="376" t="s">
        <v>584</v>
      </c>
      <c r="E100" s="377"/>
      <c r="F100" s="377"/>
      <c r="G100" s="377"/>
      <c r="H100" s="107" t="s">
        <v>803</v>
      </c>
      <c r="I100" s="114" t="s">
        <v>748</v>
      </c>
      <c r="J100" s="399"/>
      <c r="K100" s="399"/>
      <c r="L100" s="126" t="e">
        <f aca="true" t="shared" si="5" ref="L100:L109">M100+N100</f>
        <v>#REF!</v>
      </c>
      <c r="M100" s="126" t="e">
        <f>M101</f>
        <v>#REF!</v>
      </c>
      <c r="N100" s="126" t="e">
        <f>N101</f>
        <v>#REF!</v>
      </c>
      <c r="O100" s="126">
        <f>O101</f>
        <v>99162386.57</v>
      </c>
    </row>
    <row r="101" spans="2:15" ht="27">
      <c r="B101" s="50"/>
      <c r="C101" s="50"/>
      <c r="D101" s="376" t="s">
        <v>585</v>
      </c>
      <c r="E101" s="377"/>
      <c r="F101" s="377"/>
      <c r="G101" s="377"/>
      <c r="H101" s="107" t="s">
        <v>803</v>
      </c>
      <c r="I101" s="114" t="s">
        <v>748</v>
      </c>
      <c r="J101" s="399"/>
      <c r="K101" s="399"/>
      <c r="L101" s="126" t="e">
        <f>M101+N101</f>
        <v>#REF!</v>
      </c>
      <c r="M101" s="126" t="e">
        <f>SUM(M102:M130)</f>
        <v>#REF!</v>
      </c>
      <c r="N101" s="126" t="e">
        <f>SUM(N102:N130)</f>
        <v>#REF!</v>
      </c>
      <c r="O101" s="126">
        <f>SUM(O102:O130)</f>
        <v>99162386.57</v>
      </c>
    </row>
    <row r="102" spans="2:15" ht="41.25" hidden="1">
      <c r="B102" s="50"/>
      <c r="C102" s="50"/>
      <c r="D102" s="400" t="s">
        <v>79</v>
      </c>
      <c r="E102" s="165" t="s">
        <v>80</v>
      </c>
      <c r="F102" s="165"/>
      <c r="G102" s="165" t="s">
        <v>820</v>
      </c>
      <c r="H102" s="314" t="s">
        <v>688</v>
      </c>
      <c r="I102" s="276"/>
      <c r="J102" s="404" t="s">
        <v>81</v>
      </c>
      <c r="K102" s="437" t="s">
        <v>82</v>
      </c>
      <c r="L102" s="277">
        <f t="shared" si="5"/>
        <v>0</v>
      </c>
      <c r="M102" s="262">
        <f>'дод.3'!E242</f>
        <v>0</v>
      </c>
      <c r="N102" s="262"/>
      <c r="O102" s="262">
        <f>N102</f>
        <v>0</v>
      </c>
    </row>
    <row r="103" spans="2:15" ht="47.25" customHeight="1" hidden="1">
      <c r="B103" s="100"/>
      <c r="C103" s="100"/>
      <c r="D103" s="973" t="s">
        <v>485</v>
      </c>
      <c r="E103" s="963" t="s">
        <v>486</v>
      </c>
      <c r="F103" s="136"/>
      <c r="G103" s="963" t="s">
        <v>879</v>
      </c>
      <c r="H103" s="958" t="s">
        <v>487</v>
      </c>
      <c r="I103" s="291"/>
      <c r="J103" s="292" t="s">
        <v>835</v>
      </c>
      <c r="K103" s="293" t="s">
        <v>646</v>
      </c>
      <c r="L103" s="131">
        <f t="shared" si="5"/>
        <v>0</v>
      </c>
      <c r="M103" s="131"/>
      <c r="N103" s="130"/>
      <c r="O103" s="130"/>
    </row>
    <row r="104" spans="2:15" ht="69" customHeight="1">
      <c r="B104" s="100"/>
      <c r="C104" s="100"/>
      <c r="D104" s="973"/>
      <c r="E104" s="963"/>
      <c r="F104" s="136"/>
      <c r="G104" s="963"/>
      <c r="H104" s="958"/>
      <c r="I104" s="291"/>
      <c r="J104" s="292" t="s">
        <v>209</v>
      </c>
      <c r="K104" s="293" t="s">
        <v>210</v>
      </c>
      <c r="L104" s="131">
        <f t="shared" si="5"/>
        <v>1938000</v>
      </c>
      <c r="M104" s="131"/>
      <c r="N104" s="130">
        <f>823000+1625000-1325000+245000+1000000-430000</f>
        <v>1938000</v>
      </c>
      <c r="O104" s="130">
        <f>N104</f>
        <v>1938000</v>
      </c>
    </row>
    <row r="105" spans="2:15" ht="60.75" customHeight="1">
      <c r="B105" s="100"/>
      <c r="C105" s="100"/>
      <c r="D105" s="973"/>
      <c r="E105" s="963"/>
      <c r="F105" s="136"/>
      <c r="G105" s="963"/>
      <c r="H105" s="958"/>
      <c r="I105" s="291"/>
      <c r="J105" s="292" t="s">
        <v>37</v>
      </c>
      <c r="K105" s="293" t="s">
        <v>243</v>
      </c>
      <c r="L105" s="131">
        <f t="shared" si="5"/>
        <v>25000000</v>
      </c>
      <c r="M105" s="131"/>
      <c r="N105" s="130">
        <f>15000000+10000000</f>
        <v>25000000</v>
      </c>
      <c r="O105" s="130">
        <f>N105</f>
        <v>25000000</v>
      </c>
    </row>
    <row r="106" spans="2:15" ht="27" hidden="1">
      <c r="B106" s="100"/>
      <c r="C106" s="100"/>
      <c r="D106" s="347" t="s">
        <v>619</v>
      </c>
      <c r="E106" s="352" t="s">
        <v>631</v>
      </c>
      <c r="F106" s="136"/>
      <c r="G106" s="352" t="s">
        <v>879</v>
      </c>
      <c r="H106" s="354" t="s">
        <v>620</v>
      </c>
      <c r="I106" s="266"/>
      <c r="J106" s="997" t="s">
        <v>835</v>
      </c>
      <c r="K106" s="912" t="s">
        <v>646</v>
      </c>
      <c r="L106" s="131">
        <f t="shared" si="5"/>
        <v>0</v>
      </c>
      <c r="M106" s="130">
        <f>'дод.3'!E245</f>
        <v>0</v>
      </c>
      <c r="N106" s="130"/>
      <c r="O106" s="130"/>
    </row>
    <row r="107" spans="2:15" ht="27" hidden="1">
      <c r="B107" s="100"/>
      <c r="C107" s="100"/>
      <c r="D107" s="347" t="s">
        <v>618</v>
      </c>
      <c r="E107" s="352" t="s">
        <v>632</v>
      </c>
      <c r="F107" s="136"/>
      <c r="G107" s="352" t="s">
        <v>879</v>
      </c>
      <c r="H107" s="354" t="s">
        <v>621</v>
      </c>
      <c r="I107" s="266"/>
      <c r="J107" s="998"/>
      <c r="K107" s="913"/>
      <c r="L107" s="131">
        <f t="shared" si="5"/>
        <v>0</v>
      </c>
      <c r="M107" s="130">
        <f>'дод.3'!E246</f>
        <v>0</v>
      </c>
      <c r="N107" s="130"/>
      <c r="O107" s="130"/>
    </row>
    <row r="108" spans="2:15" ht="68.25" customHeight="1">
      <c r="B108" s="100"/>
      <c r="C108" s="100"/>
      <c r="D108" s="172" t="s">
        <v>488</v>
      </c>
      <c r="E108" s="136" t="s">
        <v>489</v>
      </c>
      <c r="F108" s="136"/>
      <c r="G108" s="136" t="s">
        <v>879</v>
      </c>
      <c r="H108" s="388" t="s">
        <v>492</v>
      </c>
      <c r="I108" s="266"/>
      <c r="J108" s="997" t="s">
        <v>209</v>
      </c>
      <c r="K108" s="912" t="s">
        <v>210</v>
      </c>
      <c r="L108" s="131">
        <f t="shared" si="5"/>
        <v>3800000</v>
      </c>
      <c r="M108" s="131"/>
      <c r="N108" s="130">
        <f>5000000-1200000</f>
        <v>3800000</v>
      </c>
      <c r="O108" s="130">
        <f>N108</f>
        <v>3800000</v>
      </c>
    </row>
    <row r="109" spans="2:15" ht="27" hidden="1">
      <c r="B109" s="100"/>
      <c r="C109" s="100"/>
      <c r="D109" s="172" t="s">
        <v>491</v>
      </c>
      <c r="E109" s="136" t="s">
        <v>490</v>
      </c>
      <c r="F109" s="136"/>
      <c r="G109" s="136" t="s">
        <v>879</v>
      </c>
      <c r="H109" s="388" t="s">
        <v>493</v>
      </c>
      <c r="I109" s="266"/>
      <c r="J109" s="998"/>
      <c r="K109" s="913"/>
      <c r="L109" s="131">
        <f t="shared" si="5"/>
        <v>0</v>
      </c>
      <c r="M109" s="131"/>
      <c r="N109" s="130">
        <f>'дод.3'!M248</f>
        <v>0</v>
      </c>
      <c r="O109" s="130"/>
    </row>
    <row r="110" spans="2:15" ht="45" customHeight="1">
      <c r="B110" s="50"/>
      <c r="C110" s="50"/>
      <c r="D110" s="936" t="s">
        <v>430</v>
      </c>
      <c r="E110" s="937" t="s">
        <v>431</v>
      </c>
      <c r="F110" s="935">
        <v>100203</v>
      </c>
      <c r="G110" s="937" t="s">
        <v>879</v>
      </c>
      <c r="H110" s="984" t="s">
        <v>429</v>
      </c>
      <c r="I110" s="942" t="s">
        <v>837</v>
      </c>
      <c r="J110" s="405" t="s">
        <v>838</v>
      </c>
      <c r="K110" s="293" t="s">
        <v>645</v>
      </c>
      <c r="L110" s="131">
        <v>7556559</v>
      </c>
      <c r="M110" s="130">
        <v>7556559</v>
      </c>
      <c r="N110" s="130"/>
      <c r="O110" s="130"/>
    </row>
    <row r="111" spans="2:15" ht="36.75" customHeight="1">
      <c r="B111" s="50"/>
      <c r="C111" s="50"/>
      <c r="D111" s="995"/>
      <c r="E111" s="982"/>
      <c r="F111" s="935"/>
      <c r="G111" s="982"/>
      <c r="H111" s="999"/>
      <c r="I111" s="943"/>
      <c r="J111" s="997" t="s">
        <v>835</v>
      </c>
      <c r="K111" s="912" t="s">
        <v>646</v>
      </c>
      <c r="L111" s="131">
        <f aca="true" t="shared" si="6" ref="L111:L130">M111+N111</f>
        <v>69962007.07</v>
      </c>
      <c r="M111" s="262">
        <f>83666936+7711898-20500000+245000+400000-1500000-61826.93</f>
        <v>69962007.07</v>
      </c>
      <c r="N111" s="262"/>
      <c r="O111" s="262"/>
    </row>
    <row r="112" spans="2:15" ht="42" customHeight="1">
      <c r="B112" s="50"/>
      <c r="C112" s="50"/>
      <c r="D112" s="44" t="s">
        <v>433</v>
      </c>
      <c r="E112" s="109" t="s">
        <v>432</v>
      </c>
      <c r="F112" s="935"/>
      <c r="G112" s="109" t="s">
        <v>879</v>
      </c>
      <c r="H112" s="406" t="s">
        <v>836</v>
      </c>
      <c r="I112" s="944"/>
      <c r="J112" s="998"/>
      <c r="K112" s="913"/>
      <c r="L112" s="131">
        <f t="shared" si="6"/>
        <v>37397</v>
      </c>
      <c r="M112" s="130">
        <f>'дод.3'!E250</f>
        <v>37397</v>
      </c>
      <c r="N112" s="130"/>
      <c r="O112" s="130"/>
    </row>
    <row r="113" spans="2:15" ht="76.5" customHeight="1">
      <c r="B113" s="50"/>
      <c r="C113" s="50"/>
      <c r="D113" s="44" t="s">
        <v>446</v>
      </c>
      <c r="E113" s="109" t="s">
        <v>445</v>
      </c>
      <c r="F113" s="134"/>
      <c r="G113" s="109" t="s">
        <v>328</v>
      </c>
      <c r="H113" s="407" t="s">
        <v>444</v>
      </c>
      <c r="I113" s="351"/>
      <c r="J113" s="292" t="s">
        <v>183</v>
      </c>
      <c r="K113" s="293" t="s">
        <v>713</v>
      </c>
      <c r="L113" s="131">
        <f t="shared" si="6"/>
        <v>790692</v>
      </c>
      <c r="M113" s="130">
        <f>'дод.3'!E275</f>
        <v>790692</v>
      </c>
      <c r="N113" s="130"/>
      <c r="O113" s="130"/>
    </row>
    <row r="114" spans="2:15" ht="51" customHeight="1">
      <c r="B114" s="50"/>
      <c r="C114" s="50"/>
      <c r="D114" s="408" t="s">
        <v>554</v>
      </c>
      <c r="E114" s="409" t="s">
        <v>138</v>
      </c>
      <c r="F114" s="165"/>
      <c r="G114" s="409" t="s">
        <v>895</v>
      </c>
      <c r="H114" s="410" t="s">
        <v>555</v>
      </c>
      <c r="I114" s="411"/>
      <c r="J114" s="404" t="s">
        <v>839</v>
      </c>
      <c r="K114" s="437" t="s">
        <v>575</v>
      </c>
      <c r="L114" s="277">
        <f>M114+N114</f>
        <v>1114913</v>
      </c>
      <c r="M114" s="262">
        <v>1114913</v>
      </c>
      <c r="N114" s="262"/>
      <c r="O114" s="262"/>
    </row>
    <row r="115" spans="2:15" ht="123.75" hidden="1">
      <c r="B115" s="50"/>
      <c r="C115" s="50"/>
      <c r="D115" s="44" t="s">
        <v>135</v>
      </c>
      <c r="E115" s="101">
        <v>6071</v>
      </c>
      <c r="F115" s="134"/>
      <c r="G115" s="109" t="s">
        <v>895</v>
      </c>
      <c r="H115" s="412" t="s">
        <v>139</v>
      </c>
      <c r="I115" s="135"/>
      <c r="J115" s="292" t="s">
        <v>835</v>
      </c>
      <c r="K115" s="293" t="s">
        <v>646</v>
      </c>
      <c r="L115" s="131">
        <f>M115+N115</f>
        <v>0</v>
      </c>
      <c r="M115" s="130">
        <f>'дод.3'!E252</f>
        <v>0</v>
      </c>
      <c r="N115" s="130"/>
      <c r="O115" s="130"/>
    </row>
    <row r="116" spans="2:15" ht="41.25" hidden="1">
      <c r="B116" s="50"/>
      <c r="C116" s="50"/>
      <c r="D116" s="44" t="s">
        <v>495</v>
      </c>
      <c r="E116" s="101">
        <v>7310</v>
      </c>
      <c r="F116" s="134"/>
      <c r="G116" s="109" t="s">
        <v>758</v>
      </c>
      <c r="H116" s="353" t="s">
        <v>496</v>
      </c>
      <c r="I116" s="356"/>
      <c r="J116" s="292" t="s">
        <v>835</v>
      </c>
      <c r="K116" s="293" t="s">
        <v>646</v>
      </c>
      <c r="L116" s="131">
        <f t="shared" si="6"/>
        <v>0</v>
      </c>
      <c r="M116" s="130"/>
      <c r="N116" s="130"/>
      <c r="O116" s="130">
        <f>N116</f>
        <v>0</v>
      </c>
    </row>
    <row r="117" spans="2:15" ht="27">
      <c r="B117" s="50"/>
      <c r="C117" s="50"/>
      <c r="D117" s="44" t="s">
        <v>529</v>
      </c>
      <c r="E117" s="101">
        <v>7422</v>
      </c>
      <c r="F117" s="134"/>
      <c r="G117" s="109" t="s">
        <v>434</v>
      </c>
      <c r="H117" s="353" t="s">
        <v>531</v>
      </c>
      <c r="I117" s="356"/>
      <c r="J117" s="996" t="s">
        <v>47</v>
      </c>
      <c r="K117" s="912" t="s">
        <v>653</v>
      </c>
      <c r="L117" s="131">
        <f t="shared" si="6"/>
        <v>8337628</v>
      </c>
      <c r="M117" s="130">
        <f>'дод.3'!E257</f>
        <v>8337628</v>
      </c>
      <c r="N117" s="130"/>
      <c r="O117" s="130"/>
    </row>
    <row r="118" spans="2:15" ht="16.5" customHeight="1">
      <c r="B118" s="50"/>
      <c r="C118" s="50"/>
      <c r="D118" s="44" t="s">
        <v>323</v>
      </c>
      <c r="E118" s="101">
        <v>7426</v>
      </c>
      <c r="F118" s="134"/>
      <c r="G118" s="109" t="s">
        <v>434</v>
      </c>
      <c r="H118" s="163" t="s">
        <v>38</v>
      </c>
      <c r="I118" s="306"/>
      <c r="J118" s="996"/>
      <c r="K118" s="913"/>
      <c r="L118" s="131">
        <f t="shared" si="6"/>
        <v>41024900</v>
      </c>
      <c r="M118" s="132">
        <f>'дод.3'!E258</f>
        <v>41024900</v>
      </c>
      <c r="N118" s="132"/>
      <c r="O118" s="130"/>
    </row>
    <row r="119" spans="2:15" ht="49.5" customHeight="1">
      <c r="B119" s="50"/>
      <c r="C119" s="50"/>
      <c r="D119" s="44" t="s">
        <v>548</v>
      </c>
      <c r="E119" s="101">
        <v>7461</v>
      </c>
      <c r="F119" s="134">
        <v>170703</v>
      </c>
      <c r="G119" s="109" t="s">
        <v>807</v>
      </c>
      <c r="H119" s="163" t="s">
        <v>547</v>
      </c>
      <c r="I119" s="306" t="s">
        <v>843</v>
      </c>
      <c r="J119" s="402" t="s">
        <v>842</v>
      </c>
      <c r="K119" s="293" t="s">
        <v>652</v>
      </c>
      <c r="L119" s="131">
        <f t="shared" si="6"/>
        <v>173541349.61</v>
      </c>
      <c r="M119" s="130">
        <f>'дод.3'!E260</f>
        <v>125209764.72</v>
      </c>
      <c r="N119" s="132">
        <f>'дод.3'!M260</f>
        <v>48331584.89</v>
      </c>
      <c r="O119" s="130">
        <f>'дод.3'!N260</f>
        <v>48331336.57</v>
      </c>
    </row>
    <row r="120" spans="2:15" ht="83.25" customHeight="1">
      <c r="B120" s="50"/>
      <c r="C120" s="50"/>
      <c r="D120" s="44" t="s">
        <v>557</v>
      </c>
      <c r="E120" s="101">
        <v>7640</v>
      </c>
      <c r="F120" s="134"/>
      <c r="G120" s="109" t="s">
        <v>46</v>
      </c>
      <c r="H120" s="163" t="s">
        <v>45</v>
      </c>
      <c r="I120" s="306"/>
      <c r="J120" s="402" t="s">
        <v>37</v>
      </c>
      <c r="K120" s="293" t="s">
        <v>243</v>
      </c>
      <c r="L120" s="131">
        <f t="shared" si="6"/>
        <v>3142370</v>
      </c>
      <c r="M120" s="130">
        <f>'дод.3'!E261</f>
        <v>3142370</v>
      </c>
      <c r="N120" s="132"/>
      <c r="O120" s="130"/>
    </row>
    <row r="121" spans="2:15" ht="36" customHeight="1">
      <c r="B121" s="50"/>
      <c r="C121" s="50"/>
      <c r="D121" s="936" t="s">
        <v>498</v>
      </c>
      <c r="E121" s="991">
        <v>7670</v>
      </c>
      <c r="F121" s="134"/>
      <c r="G121" s="937" t="s">
        <v>411</v>
      </c>
      <c r="H121" s="958" t="s">
        <v>500</v>
      </c>
      <c r="I121" s="306"/>
      <c r="J121" s="402" t="s">
        <v>667</v>
      </c>
      <c r="K121" s="293" t="s">
        <v>184</v>
      </c>
      <c r="L121" s="131">
        <f t="shared" si="6"/>
        <v>18983100</v>
      </c>
      <c r="M121" s="130"/>
      <c r="N121" s="132">
        <f>18842100+1741000+4900000-5000000-1500000</f>
        <v>18983100</v>
      </c>
      <c r="O121" s="130">
        <f>N121</f>
        <v>18983100</v>
      </c>
    </row>
    <row r="122" spans="2:15" ht="27" customHeight="1" hidden="1">
      <c r="B122" s="50"/>
      <c r="C122" s="50"/>
      <c r="D122" s="936"/>
      <c r="E122" s="991"/>
      <c r="F122" s="134"/>
      <c r="G122" s="937"/>
      <c r="H122" s="958"/>
      <c r="I122" s="306"/>
      <c r="J122" s="402" t="s">
        <v>682</v>
      </c>
      <c r="K122" s="293" t="s">
        <v>683</v>
      </c>
      <c r="L122" s="131">
        <f t="shared" si="6"/>
        <v>0</v>
      </c>
      <c r="M122" s="130"/>
      <c r="N122" s="132"/>
      <c r="O122" s="130"/>
    </row>
    <row r="123" spans="2:15" ht="14.25" customHeight="1" hidden="1">
      <c r="B123" s="50"/>
      <c r="C123" s="50"/>
      <c r="D123" s="936"/>
      <c r="E123" s="991"/>
      <c r="F123" s="134"/>
      <c r="G123" s="937"/>
      <c r="H123" s="958"/>
      <c r="I123" s="306"/>
      <c r="J123" s="402" t="s">
        <v>47</v>
      </c>
      <c r="K123" s="293" t="s">
        <v>653</v>
      </c>
      <c r="L123" s="131">
        <f t="shared" si="6"/>
        <v>0</v>
      </c>
      <c r="M123" s="130"/>
      <c r="N123" s="132"/>
      <c r="O123" s="130">
        <f>N123</f>
        <v>0</v>
      </c>
    </row>
    <row r="124" spans="2:15" ht="114" customHeight="1">
      <c r="B124" s="50"/>
      <c r="C124" s="50"/>
      <c r="D124" s="44" t="s">
        <v>572</v>
      </c>
      <c r="E124" s="101">
        <v>7691</v>
      </c>
      <c r="F124" s="134"/>
      <c r="G124" s="109" t="s">
        <v>411</v>
      </c>
      <c r="H124" s="413" t="s">
        <v>574</v>
      </c>
      <c r="I124" s="306"/>
      <c r="J124" s="315" t="s">
        <v>838</v>
      </c>
      <c r="K124" s="293" t="s">
        <v>645</v>
      </c>
      <c r="L124" s="131">
        <f t="shared" si="6"/>
        <v>100658.92</v>
      </c>
      <c r="M124" s="130"/>
      <c r="N124" s="132">
        <f>'дод.3'!M263</f>
        <v>100658.92</v>
      </c>
      <c r="O124" s="130"/>
    </row>
    <row r="125" spans="2:15" ht="57.75" customHeight="1">
      <c r="B125" s="50"/>
      <c r="C125" s="50"/>
      <c r="D125" s="44" t="s">
        <v>439</v>
      </c>
      <c r="E125" s="101">
        <v>8110</v>
      </c>
      <c r="F125" s="134" t="s">
        <v>471</v>
      </c>
      <c r="G125" s="109" t="s">
        <v>472</v>
      </c>
      <c r="H125" s="163" t="s">
        <v>438</v>
      </c>
      <c r="I125" s="135" t="s">
        <v>56</v>
      </c>
      <c r="J125" s="135" t="s">
        <v>565</v>
      </c>
      <c r="K125" s="117" t="s">
        <v>205</v>
      </c>
      <c r="L125" s="131">
        <f t="shared" si="6"/>
        <v>301056</v>
      </c>
      <c r="M125" s="132">
        <f>'дод.3'!E266</f>
        <v>301056</v>
      </c>
      <c r="N125" s="132"/>
      <c r="O125" s="132"/>
    </row>
    <row r="126" spans="2:15" ht="66" customHeight="1">
      <c r="B126" s="50"/>
      <c r="C126" s="50"/>
      <c r="D126" s="44" t="s">
        <v>442</v>
      </c>
      <c r="E126" s="101">
        <v>8120</v>
      </c>
      <c r="F126" s="134" t="s">
        <v>57</v>
      </c>
      <c r="G126" s="109" t="s">
        <v>472</v>
      </c>
      <c r="H126" s="163" t="s">
        <v>441</v>
      </c>
      <c r="I126" s="135" t="s">
        <v>58</v>
      </c>
      <c r="J126" s="402" t="s">
        <v>48</v>
      </c>
      <c r="K126" s="293" t="s">
        <v>680</v>
      </c>
      <c r="L126" s="131">
        <f t="shared" si="6"/>
        <v>2722268</v>
      </c>
      <c r="M126" s="132">
        <f>'дод.3'!E268</f>
        <v>2722268</v>
      </c>
      <c r="N126" s="132"/>
      <c r="O126" s="132"/>
    </row>
    <row r="127" spans="2:15" ht="13.5" customHeight="1" hidden="1">
      <c r="B127" s="50"/>
      <c r="C127" s="50"/>
      <c r="D127" s="44" t="s">
        <v>922</v>
      </c>
      <c r="E127" s="101">
        <v>8320</v>
      </c>
      <c r="F127" s="134"/>
      <c r="G127" s="109" t="s">
        <v>576</v>
      </c>
      <c r="H127" s="163" t="s">
        <v>0</v>
      </c>
      <c r="I127" s="135"/>
      <c r="J127" s="929" t="s">
        <v>838</v>
      </c>
      <c r="K127" s="912" t="s">
        <v>645</v>
      </c>
      <c r="L127" s="131">
        <f t="shared" si="6"/>
        <v>0</v>
      </c>
      <c r="M127" s="132">
        <f>'дод.3'!E270</f>
        <v>0</v>
      </c>
      <c r="N127" s="132"/>
      <c r="O127" s="132"/>
    </row>
    <row r="128" spans="2:15" ht="51" customHeight="1">
      <c r="B128" s="50"/>
      <c r="C128" s="50"/>
      <c r="D128" s="44" t="s">
        <v>605</v>
      </c>
      <c r="E128" s="101">
        <v>8340</v>
      </c>
      <c r="F128" s="134" t="s">
        <v>815</v>
      </c>
      <c r="G128" s="109" t="s">
        <v>576</v>
      </c>
      <c r="H128" s="296" t="s">
        <v>603</v>
      </c>
      <c r="I128" s="135" t="s">
        <v>816</v>
      </c>
      <c r="J128" s="931"/>
      <c r="K128" s="913"/>
      <c r="L128" s="131">
        <f t="shared" si="6"/>
        <v>11566690.97</v>
      </c>
      <c r="M128" s="132"/>
      <c r="N128" s="132">
        <f>'дод.3'!M272</f>
        <v>11566690.97</v>
      </c>
      <c r="O128" s="132"/>
    </row>
    <row r="129" spans="1:15" s="40" customFormat="1" ht="72" customHeight="1">
      <c r="A129" s="1"/>
      <c r="B129" s="50"/>
      <c r="C129" s="50"/>
      <c r="D129" s="229" t="s">
        <v>556</v>
      </c>
      <c r="E129" s="123">
        <v>8841</v>
      </c>
      <c r="F129" s="368" t="s">
        <v>749</v>
      </c>
      <c r="G129" s="219" t="s">
        <v>355</v>
      </c>
      <c r="H129" s="354" t="s">
        <v>691</v>
      </c>
      <c r="I129" s="365" t="s">
        <v>447</v>
      </c>
      <c r="J129" s="292" t="s">
        <v>183</v>
      </c>
      <c r="K129" s="348" t="s">
        <v>713</v>
      </c>
      <c r="L129" s="294" t="e">
        <f t="shared" si="6"/>
        <v>#REF!</v>
      </c>
      <c r="M129" s="295" t="e">
        <f>#REF!</f>
        <v>#REF!</v>
      </c>
      <c r="N129" s="295" t="e">
        <f>#REF!</f>
        <v>#REF!</v>
      </c>
      <c r="O129" s="295"/>
    </row>
    <row r="130" spans="1:15" s="40" customFormat="1" ht="75.75" customHeight="1">
      <c r="A130" s="1"/>
      <c r="B130" s="50"/>
      <c r="C130" s="50"/>
      <c r="D130" s="229" t="s">
        <v>600</v>
      </c>
      <c r="E130" s="123">
        <v>9800</v>
      </c>
      <c r="F130" s="368"/>
      <c r="G130" s="219" t="s">
        <v>106</v>
      </c>
      <c r="H130" s="365" t="s">
        <v>599</v>
      </c>
      <c r="I130" s="365"/>
      <c r="J130" s="135" t="s">
        <v>565</v>
      </c>
      <c r="K130" s="117" t="s">
        <v>205</v>
      </c>
      <c r="L130" s="131">
        <f t="shared" si="6"/>
        <v>2420000</v>
      </c>
      <c r="M130" s="132">
        <f>'дод.3'!E276</f>
        <v>1310050</v>
      </c>
      <c r="N130" s="132">
        <f>'дод.3'!M276</f>
        <v>1109950</v>
      </c>
      <c r="O130" s="132">
        <f>'дод.3'!N276</f>
        <v>1109950</v>
      </c>
    </row>
    <row r="131" spans="2:15" ht="13.5" customHeight="1">
      <c r="B131" s="50"/>
      <c r="C131" s="50"/>
      <c r="D131" s="376" t="s">
        <v>448</v>
      </c>
      <c r="E131" s="377"/>
      <c r="F131" s="377"/>
      <c r="G131" s="377"/>
      <c r="H131" s="107" t="s">
        <v>397</v>
      </c>
      <c r="I131" s="114" t="s">
        <v>748</v>
      </c>
      <c r="J131" s="399"/>
      <c r="K131" s="399"/>
      <c r="L131" s="126">
        <f aca="true" t="shared" si="7" ref="L131:L137">M131+N131</f>
        <v>512000</v>
      </c>
      <c r="M131" s="126">
        <f>M132</f>
        <v>512000</v>
      </c>
      <c r="N131" s="126">
        <f>N132</f>
        <v>0</v>
      </c>
      <c r="O131" s="126">
        <f>O132</f>
        <v>0</v>
      </c>
    </row>
    <row r="132" spans="2:15" ht="13.5" customHeight="1">
      <c r="B132" s="50"/>
      <c r="C132" s="50"/>
      <c r="D132" s="376" t="s">
        <v>450</v>
      </c>
      <c r="E132" s="377"/>
      <c r="F132" s="377"/>
      <c r="G132" s="377"/>
      <c r="H132" s="107" t="s">
        <v>397</v>
      </c>
      <c r="I132" s="114" t="s">
        <v>748</v>
      </c>
      <c r="J132" s="399"/>
      <c r="K132" s="399"/>
      <c r="L132" s="126">
        <f t="shared" si="7"/>
        <v>512000</v>
      </c>
      <c r="M132" s="126">
        <f>M133</f>
        <v>512000</v>
      </c>
      <c r="N132" s="126">
        <f>N880</f>
        <v>0</v>
      </c>
      <c r="O132" s="126">
        <f>O133</f>
        <v>0</v>
      </c>
    </row>
    <row r="133" spans="2:15" ht="51" customHeight="1">
      <c r="B133" s="50"/>
      <c r="C133" s="50"/>
      <c r="D133" s="44" t="s">
        <v>583</v>
      </c>
      <c r="E133" s="267" t="s">
        <v>367</v>
      </c>
      <c r="F133" s="137" t="s">
        <v>908</v>
      </c>
      <c r="G133" s="267" t="s">
        <v>105</v>
      </c>
      <c r="H133" s="228" t="s">
        <v>360</v>
      </c>
      <c r="I133" s="228" t="s">
        <v>834</v>
      </c>
      <c r="J133" s="402" t="s">
        <v>924</v>
      </c>
      <c r="K133" s="293" t="s">
        <v>925</v>
      </c>
      <c r="L133" s="133">
        <f t="shared" si="7"/>
        <v>512000</v>
      </c>
      <c r="M133" s="132">
        <f>'дод.3'!E280</f>
        <v>512000</v>
      </c>
      <c r="N133" s="132"/>
      <c r="O133" s="133"/>
    </row>
    <row r="134" spans="2:15" ht="13.5">
      <c r="B134" s="50" t="s">
        <v>64</v>
      </c>
      <c r="C134" s="50"/>
      <c r="D134" s="376" t="s">
        <v>580</v>
      </c>
      <c r="E134" s="377"/>
      <c r="F134" s="377"/>
      <c r="G134" s="377"/>
      <c r="H134" s="114" t="s">
        <v>750</v>
      </c>
      <c r="I134" s="114" t="s">
        <v>577</v>
      </c>
      <c r="J134" s="378"/>
      <c r="K134" s="378"/>
      <c r="L134" s="108">
        <f t="shared" si="7"/>
        <v>147980375.04</v>
      </c>
      <c r="M134" s="108">
        <f>M135</f>
        <v>930000</v>
      </c>
      <c r="N134" s="108">
        <f>N135</f>
        <v>147050375.04</v>
      </c>
      <c r="O134" s="108">
        <f>O135</f>
        <v>146697732.01</v>
      </c>
    </row>
    <row r="135" spans="2:15" ht="13.5">
      <c r="B135" s="50" t="s">
        <v>64</v>
      </c>
      <c r="C135" s="50"/>
      <c r="D135" s="376" t="s">
        <v>581</v>
      </c>
      <c r="E135" s="377"/>
      <c r="F135" s="377"/>
      <c r="G135" s="377"/>
      <c r="H135" s="114" t="s">
        <v>750</v>
      </c>
      <c r="I135" s="114" t="s">
        <v>577</v>
      </c>
      <c r="J135" s="378"/>
      <c r="K135" s="378"/>
      <c r="L135" s="108">
        <f>M135+N135</f>
        <v>147980375.04</v>
      </c>
      <c r="M135" s="108">
        <f>SUM(M136:M145)</f>
        <v>930000</v>
      </c>
      <c r="N135" s="108">
        <f>SUM(N137:N145)</f>
        <v>147050375.04</v>
      </c>
      <c r="O135" s="108">
        <f>SUM(O137:O145)</f>
        <v>146697732.01</v>
      </c>
    </row>
    <row r="136" spans="2:15" ht="48.75" customHeight="1">
      <c r="B136" s="50"/>
      <c r="C136" s="50"/>
      <c r="D136" s="44" t="s">
        <v>582</v>
      </c>
      <c r="E136" s="109" t="s">
        <v>367</v>
      </c>
      <c r="F136" s="134" t="s">
        <v>806</v>
      </c>
      <c r="G136" s="136" t="s">
        <v>105</v>
      </c>
      <c r="H136" s="228" t="s">
        <v>360</v>
      </c>
      <c r="I136" s="236" t="s">
        <v>843</v>
      </c>
      <c r="J136" s="404" t="s">
        <v>81</v>
      </c>
      <c r="K136" s="437" t="s">
        <v>82</v>
      </c>
      <c r="L136" s="111">
        <f>M136+N136</f>
        <v>300000</v>
      </c>
      <c r="M136" s="110">
        <f>'дод.3'!E284</f>
        <v>300000</v>
      </c>
      <c r="N136" s="110"/>
      <c r="O136" s="112"/>
    </row>
    <row r="137" spans="2:15" ht="41.25">
      <c r="B137" s="50"/>
      <c r="C137" s="50"/>
      <c r="D137" s="44" t="s">
        <v>49</v>
      </c>
      <c r="E137" s="109" t="s">
        <v>106</v>
      </c>
      <c r="F137" s="134" t="s">
        <v>806</v>
      </c>
      <c r="G137" s="136" t="s">
        <v>889</v>
      </c>
      <c r="H137" s="217" t="s">
        <v>76</v>
      </c>
      <c r="I137" s="236" t="s">
        <v>843</v>
      </c>
      <c r="J137" s="381" t="s">
        <v>136</v>
      </c>
      <c r="K137" s="293" t="s">
        <v>272</v>
      </c>
      <c r="L137" s="111">
        <f t="shared" si="7"/>
        <v>210000</v>
      </c>
      <c r="M137" s="110">
        <f>'дод.3'!E286</f>
        <v>210000</v>
      </c>
      <c r="N137" s="110"/>
      <c r="O137" s="112"/>
    </row>
    <row r="138" spans="2:15" ht="27" hidden="1">
      <c r="B138" s="50"/>
      <c r="C138" s="50"/>
      <c r="D138" s="113" t="s">
        <v>514</v>
      </c>
      <c r="E138" s="267" t="s">
        <v>503</v>
      </c>
      <c r="F138" s="137"/>
      <c r="G138" s="138" t="s">
        <v>758</v>
      </c>
      <c r="H138" s="234" t="s">
        <v>504</v>
      </c>
      <c r="I138" s="349"/>
      <c r="J138" s="381" t="s">
        <v>515</v>
      </c>
      <c r="K138" s="381"/>
      <c r="L138" s="111">
        <f aca="true" t="shared" si="8" ref="L138:L145">M138+N138</f>
        <v>0</v>
      </c>
      <c r="M138" s="110"/>
      <c r="N138" s="110"/>
      <c r="O138" s="112"/>
    </row>
    <row r="139" spans="2:15" ht="27">
      <c r="B139" s="50"/>
      <c r="C139" s="50"/>
      <c r="D139" s="113" t="s">
        <v>318</v>
      </c>
      <c r="E139" s="122">
        <v>7370</v>
      </c>
      <c r="F139" s="137" t="s">
        <v>751</v>
      </c>
      <c r="G139" s="138" t="s">
        <v>411</v>
      </c>
      <c r="H139" s="353" t="s">
        <v>15</v>
      </c>
      <c r="I139" s="414"/>
      <c r="J139" s="381" t="s">
        <v>137</v>
      </c>
      <c r="K139" s="428" t="s">
        <v>273</v>
      </c>
      <c r="L139" s="111">
        <f t="shared" si="8"/>
        <v>96000</v>
      </c>
      <c r="M139" s="110">
        <f>'дод.3'!E299</f>
        <v>0</v>
      </c>
      <c r="N139" s="110">
        <v>96000</v>
      </c>
      <c r="O139" s="112">
        <f>N139</f>
        <v>96000</v>
      </c>
    </row>
    <row r="140" spans="2:15" ht="45.75" customHeight="1">
      <c r="B140" s="50"/>
      <c r="C140" s="50"/>
      <c r="D140" s="914" t="s">
        <v>505</v>
      </c>
      <c r="E140" s="917">
        <v>7461</v>
      </c>
      <c r="F140" s="137"/>
      <c r="G140" s="920" t="s">
        <v>807</v>
      </c>
      <c r="H140" s="923" t="s">
        <v>547</v>
      </c>
      <c r="I140" s="306" t="s">
        <v>843</v>
      </c>
      <c r="J140" s="402" t="s">
        <v>842</v>
      </c>
      <c r="K140" s="293" t="s">
        <v>652</v>
      </c>
      <c r="L140" s="111">
        <f t="shared" si="8"/>
        <v>145448898.07</v>
      </c>
      <c r="M140" s="110">
        <f>'дод.3'!E301</f>
        <v>420000</v>
      </c>
      <c r="N140" s="110">
        <f>'дод.3'!M301-1522833.94</f>
        <v>145028898.07</v>
      </c>
      <c r="O140" s="112">
        <f>N140</f>
        <v>145028898.07</v>
      </c>
    </row>
    <row r="141" spans="2:15" ht="45.75" customHeight="1">
      <c r="B141" s="50"/>
      <c r="C141" s="50"/>
      <c r="D141" s="916"/>
      <c r="E141" s="919"/>
      <c r="F141" s="137"/>
      <c r="G141" s="922"/>
      <c r="H141" s="925"/>
      <c r="I141" s="414"/>
      <c r="J141" s="438" t="s">
        <v>81</v>
      </c>
      <c r="K141" s="439" t="s">
        <v>82</v>
      </c>
      <c r="L141" s="111">
        <f t="shared" si="8"/>
        <v>1522833.94</v>
      </c>
      <c r="M141" s="110"/>
      <c r="N141" s="110">
        <v>1522833.94</v>
      </c>
      <c r="O141" s="112">
        <f>N141</f>
        <v>1522833.94</v>
      </c>
    </row>
    <row r="142" spans="2:15" ht="34.5" customHeight="1">
      <c r="B142" s="50"/>
      <c r="C142" s="50"/>
      <c r="D142" s="113" t="s">
        <v>507</v>
      </c>
      <c r="E142" s="122">
        <v>7650</v>
      </c>
      <c r="F142" s="137"/>
      <c r="G142" s="267" t="s">
        <v>411</v>
      </c>
      <c r="H142" s="353" t="s">
        <v>508</v>
      </c>
      <c r="I142" s="414"/>
      <c r="J142" s="381" t="s">
        <v>136</v>
      </c>
      <c r="K142" s="293" t="s">
        <v>272</v>
      </c>
      <c r="L142" s="111">
        <f t="shared" si="8"/>
        <v>50000</v>
      </c>
      <c r="M142" s="110"/>
      <c r="N142" s="110">
        <f>'дод.3'!M302</f>
        <v>50000</v>
      </c>
      <c r="O142" s="112">
        <f>N142</f>
        <v>50000</v>
      </c>
    </row>
    <row r="143" spans="2:15" ht="27" hidden="1">
      <c r="B143" s="50"/>
      <c r="C143" s="50"/>
      <c r="D143" s="113" t="s">
        <v>318</v>
      </c>
      <c r="E143" s="122">
        <v>7370</v>
      </c>
      <c r="F143" s="137"/>
      <c r="G143" s="267" t="s">
        <v>411</v>
      </c>
      <c r="H143" s="353" t="s">
        <v>15</v>
      </c>
      <c r="I143" s="414"/>
      <c r="J143" s="381" t="s">
        <v>137</v>
      </c>
      <c r="K143" s="293" t="s">
        <v>273</v>
      </c>
      <c r="L143" s="111">
        <f t="shared" si="8"/>
        <v>0</v>
      </c>
      <c r="M143" s="110"/>
      <c r="N143" s="110"/>
      <c r="O143" s="112">
        <f>N143</f>
        <v>0</v>
      </c>
    </row>
    <row r="144" spans="2:15" ht="57" customHeight="1">
      <c r="B144" s="50"/>
      <c r="C144" s="50"/>
      <c r="D144" s="113" t="s">
        <v>476</v>
      </c>
      <c r="E144" s="122">
        <v>8311</v>
      </c>
      <c r="F144" s="137"/>
      <c r="G144" s="138" t="s">
        <v>497</v>
      </c>
      <c r="H144" s="234" t="s">
        <v>478</v>
      </c>
      <c r="I144" s="349"/>
      <c r="J144" s="381" t="s">
        <v>136</v>
      </c>
      <c r="K144" s="293" t="s">
        <v>244</v>
      </c>
      <c r="L144" s="111">
        <f t="shared" si="8"/>
        <v>352643.03</v>
      </c>
      <c r="M144" s="110"/>
      <c r="N144" s="110">
        <f>'дод.3'!M303</f>
        <v>352643.03</v>
      </c>
      <c r="O144" s="112"/>
    </row>
    <row r="145" spans="2:15" ht="41.25" hidden="1">
      <c r="B145" s="50"/>
      <c r="C145" s="50"/>
      <c r="D145" s="113" t="s">
        <v>509</v>
      </c>
      <c r="E145" s="122">
        <v>8312</v>
      </c>
      <c r="F145" s="137"/>
      <c r="G145" s="138" t="s">
        <v>511</v>
      </c>
      <c r="H145" s="234" t="s">
        <v>512</v>
      </c>
      <c r="I145" s="349"/>
      <c r="J145" s="381" t="s">
        <v>838</v>
      </c>
      <c r="K145" s="293" t="s">
        <v>645</v>
      </c>
      <c r="L145" s="111">
        <f t="shared" si="8"/>
        <v>0</v>
      </c>
      <c r="N145" s="110"/>
      <c r="O145" s="112">
        <f>N145</f>
        <v>0</v>
      </c>
    </row>
    <row r="146" spans="1:15" s="245" customFormat="1" ht="13.5" hidden="1">
      <c r="A146" s="244"/>
      <c r="B146" s="44" t="s">
        <v>832</v>
      </c>
      <c r="C146" s="44"/>
      <c r="D146" s="376" t="s">
        <v>368</v>
      </c>
      <c r="E146" s="377"/>
      <c r="F146" s="376"/>
      <c r="G146" s="376"/>
      <c r="H146" s="107" t="s">
        <v>337</v>
      </c>
      <c r="I146" s="107" t="s">
        <v>338</v>
      </c>
      <c r="J146" s="415"/>
      <c r="K146" s="415"/>
      <c r="L146" s="108">
        <f>M146+N146</f>
        <v>0</v>
      </c>
      <c r="M146" s="108">
        <f>M147</f>
        <v>0</v>
      </c>
      <c r="N146" s="108">
        <f>N147</f>
        <v>0</v>
      </c>
      <c r="O146" s="108">
        <f>O147</f>
        <v>0</v>
      </c>
    </row>
    <row r="147" spans="1:15" s="245" customFormat="1" ht="13.5" hidden="1">
      <c r="A147" s="244"/>
      <c r="B147" s="44" t="s">
        <v>832</v>
      </c>
      <c r="C147" s="44"/>
      <c r="D147" s="376" t="s">
        <v>369</v>
      </c>
      <c r="E147" s="377"/>
      <c r="F147" s="376"/>
      <c r="G147" s="376"/>
      <c r="H147" s="107" t="s">
        <v>337</v>
      </c>
      <c r="I147" s="107" t="s">
        <v>338</v>
      </c>
      <c r="J147" s="415"/>
      <c r="K147" s="415"/>
      <c r="L147" s="108">
        <f>M147+N147</f>
        <v>0</v>
      </c>
      <c r="M147" s="108">
        <f>M148+M154+M155+M157+M158+M159+M160+M161</f>
        <v>0</v>
      </c>
      <c r="N147" s="108">
        <f>N148+N154+N155+N157+N158+N159+N160+N161+N156</f>
        <v>0</v>
      </c>
      <c r="O147" s="108">
        <f>O148+O154+O155+O157+O158+O159+O160+O161+O156</f>
        <v>0</v>
      </c>
    </row>
    <row r="148" spans="1:15" s="245" customFormat="1" ht="13.5" hidden="1">
      <c r="A148" s="244"/>
      <c r="B148" s="172"/>
      <c r="C148" s="172"/>
      <c r="D148" s="939" t="s">
        <v>50</v>
      </c>
      <c r="E148" s="945" t="s">
        <v>106</v>
      </c>
      <c r="F148" s="172"/>
      <c r="G148" s="945" t="s">
        <v>889</v>
      </c>
      <c r="H148" s="984" t="s">
        <v>76</v>
      </c>
      <c r="I148" s="235"/>
      <c r="J148" s="379"/>
      <c r="K148" s="379"/>
      <c r="L148" s="115">
        <f>M148+N148</f>
        <v>0</v>
      </c>
      <c r="M148" s="110">
        <f>SUM(M149:M153)</f>
        <v>0</v>
      </c>
      <c r="N148" s="110">
        <f>SUM(N149:N152)</f>
        <v>0</v>
      </c>
      <c r="O148" s="110">
        <f>SUM(O149:O152)</f>
        <v>0</v>
      </c>
    </row>
    <row r="149" spans="1:15" s="245" customFormat="1" ht="41.25" hidden="1">
      <c r="A149" s="244"/>
      <c r="B149" s="172"/>
      <c r="C149" s="172"/>
      <c r="D149" s="940"/>
      <c r="E149" s="946"/>
      <c r="F149" s="172"/>
      <c r="G149" s="946"/>
      <c r="H149" s="985"/>
      <c r="I149" s="235"/>
      <c r="J149" s="379" t="s">
        <v>662</v>
      </c>
      <c r="K149" s="101" t="s">
        <v>669</v>
      </c>
      <c r="L149" s="115">
        <f aca="true" t="shared" si="9" ref="L149:L161">M149+N149</f>
        <v>0</v>
      </c>
      <c r="M149" s="110">
        <f>'дод.3'!E317</f>
        <v>0</v>
      </c>
      <c r="N149" s="110"/>
      <c r="O149" s="110"/>
    </row>
    <row r="150" spans="1:15" s="245" customFormat="1" ht="45" customHeight="1" hidden="1">
      <c r="A150" s="244"/>
      <c r="B150" s="172"/>
      <c r="C150" s="172"/>
      <c r="D150" s="940"/>
      <c r="E150" s="946"/>
      <c r="F150" s="172"/>
      <c r="G150" s="946"/>
      <c r="H150" s="985"/>
      <c r="I150" s="235"/>
      <c r="J150" s="379" t="s">
        <v>710</v>
      </c>
      <c r="K150" s="101" t="s">
        <v>671</v>
      </c>
      <c r="L150" s="115">
        <f t="shared" si="9"/>
        <v>0</v>
      </c>
      <c r="M150" s="110">
        <f>'дод.3'!E318</f>
        <v>0</v>
      </c>
      <c r="N150" s="110">
        <f>'дод.3'!M318</f>
        <v>0</v>
      </c>
      <c r="O150" s="110">
        <f>N150</f>
        <v>0</v>
      </c>
    </row>
    <row r="151" spans="1:15" s="245" customFormat="1" ht="27" customHeight="1" hidden="1">
      <c r="A151" s="244"/>
      <c r="B151" s="172"/>
      <c r="C151" s="172"/>
      <c r="D151" s="940"/>
      <c r="E151" s="946"/>
      <c r="F151" s="172"/>
      <c r="G151" s="946"/>
      <c r="H151" s="985"/>
      <c r="I151" s="235"/>
      <c r="J151" s="379" t="s">
        <v>19</v>
      </c>
      <c r="K151" s="379"/>
      <c r="L151" s="115">
        <f t="shared" si="9"/>
        <v>0</v>
      </c>
      <c r="M151" s="110">
        <f>'дод.3'!E319</f>
        <v>0</v>
      </c>
      <c r="N151" s="110"/>
      <c r="O151" s="110"/>
    </row>
    <row r="152" spans="1:15" s="245" customFormat="1" ht="56.25" customHeight="1" hidden="1">
      <c r="A152" s="244"/>
      <c r="B152" s="172"/>
      <c r="C152" s="172"/>
      <c r="D152" s="940"/>
      <c r="E152" s="946"/>
      <c r="F152" s="172"/>
      <c r="G152" s="946"/>
      <c r="H152" s="985"/>
      <c r="I152" s="235"/>
      <c r="J152" s="379" t="s">
        <v>417</v>
      </c>
      <c r="K152" s="101" t="s">
        <v>672</v>
      </c>
      <c r="L152" s="115">
        <f t="shared" si="9"/>
        <v>0</v>
      </c>
      <c r="M152" s="110">
        <f>'дод.3'!E320</f>
        <v>0</v>
      </c>
      <c r="N152" s="110"/>
      <c r="O152" s="110"/>
    </row>
    <row r="153" spans="1:15" s="245" customFormat="1" ht="69" hidden="1">
      <c r="A153" s="244"/>
      <c r="B153" s="172"/>
      <c r="C153" s="172"/>
      <c r="D153" s="941"/>
      <c r="E153" s="947"/>
      <c r="F153" s="172"/>
      <c r="G153" s="947"/>
      <c r="H153" s="986"/>
      <c r="I153" s="235"/>
      <c r="J153" s="379" t="s">
        <v>516</v>
      </c>
      <c r="K153" s="101" t="s">
        <v>711</v>
      </c>
      <c r="L153" s="115">
        <f t="shared" si="9"/>
        <v>0</v>
      </c>
      <c r="M153" s="110">
        <f>'дод.3'!E322</f>
        <v>0</v>
      </c>
      <c r="N153" s="110"/>
      <c r="O153" s="110"/>
    </row>
    <row r="154" spans="1:15" s="245" customFormat="1" ht="82.5" hidden="1">
      <c r="A154" s="244"/>
      <c r="B154" s="172"/>
      <c r="C154" s="172"/>
      <c r="D154" s="172" t="s">
        <v>736</v>
      </c>
      <c r="E154" s="136" t="s">
        <v>727</v>
      </c>
      <c r="F154" s="172"/>
      <c r="G154" s="136" t="s">
        <v>824</v>
      </c>
      <c r="H154" s="236" t="s">
        <v>75</v>
      </c>
      <c r="I154" s="235"/>
      <c r="J154" s="379" t="s">
        <v>39</v>
      </c>
      <c r="K154" s="432" t="s">
        <v>674</v>
      </c>
      <c r="L154" s="115">
        <f t="shared" si="9"/>
        <v>0</v>
      </c>
      <c r="M154" s="110">
        <f>'дод.3'!E324</f>
        <v>0</v>
      </c>
      <c r="N154" s="110"/>
      <c r="O154" s="110"/>
    </row>
    <row r="155" spans="1:15" s="40" customFormat="1" ht="54.75" hidden="1">
      <c r="A155" s="1"/>
      <c r="B155" s="44"/>
      <c r="C155" s="44"/>
      <c r="D155" s="44" t="s">
        <v>732</v>
      </c>
      <c r="E155" s="109" t="s">
        <v>744</v>
      </c>
      <c r="F155" s="134" t="s">
        <v>722</v>
      </c>
      <c r="G155" s="109" t="s">
        <v>723</v>
      </c>
      <c r="H155" s="135" t="s">
        <v>737</v>
      </c>
      <c r="I155" s="416" t="s">
        <v>340</v>
      </c>
      <c r="J155" s="135" t="s">
        <v>181</v>
      </c>
      <c r="K155" s="101" t="s">
        <v>343</v>
      </c>
      <c r="L155" s="115">
        <f t="shared" si="9"/>
        <v>0</v>
      </c>
      <c r="M155" s="112">
        <f>'дод.3'!E325</f>
        <v>0</v>
      </c>
      <c r="N155" s="112"/>
      <c r="O155" s="112"/>
    </row>
    <row r="156" spans="1:15" s="40" customFormat="1" ht="41.25" hidden="1">
      <c r="A156" s="1"/>
      <c r="B156" s="44"/>
      <c r="C156" s="44"/>
      <c r="D156" s="44" t="s">
        <v>513</v>
      </c>
      <c r="E156" s="109" t="s">
        <v>317</v>
      </c>
      <c r="F156" s="134"/>
      <c r="G156" s="109" t="s">
        <v>411</v>
      </c>
      <c r="H156" s="135" t="s">
        <v>15</v>
      </c>
      <c r="I156" s="416"/>
      <c r="J156" s="379" t="s">
        <v>350</v>
      </c>
      <c r="K156" s="101" t="s">
        <v>673</v>
      </c>
      <c r="L156" s="115">
        <f t="shared" si="9"/>
        <v>0</v>
      </c>
      <c r="M156" s="112"/>
      <c r="N156" s="112"/>
      <c r="O156" s="112">
        <f>N156</f>
        <v>0</v>
      </c>
    </row>
    <row r="157" spans="1:15" s="245" customFormat="1" ht="41.25" hidden="1">
      <c r="A157" s="244"/>
      <c r="B157" s="172"/>
      <c r="C157" s="172"/>
      <c r="D157" s="172" t="s">
        <v>6</v>
      </c>
      <c r="E157" s="136" t="s">
        <v>52</v>
      </c>
      <c r="F157" s="172"/>
      <c r="G157" s="136" t="s">
        <v>411</v>
      </c>
      <c r="H157" s="236" t="s">
        <v>7</v>
      </c>
      <c r="I157" s="235"/>
      <c r="J157" s="379" t="s">
        <v>51</v>
      </c>
      <c r="K157" s="101" t="s">
        <v>669</v>
      </c>
      <c r="L157" s="115">
        <f t="shared" si="9"/>
        <v>0</v>
      </c>
      <c r="M157" s="110">
        <f>'дод.3'!E332</f>
        <v>0</v>
      </c>
      <c r="N157" s="110"/>
      <c r="O157" s="110"/>
    </row>
    <row r="158" spans="1:15" s="245" customFormat="1" ht="41.25" hidden="1">
      <c r="A158" s="244"/>
      <c r="B158" s="172"/>
      <c r="C158" s="172"/>
      <c r="D158" s="172" t="s">
        <v>8</v>
      </c>
      <c r="E158" s="136" t="s">
        <v>53</v>
      </c>
      <c r="F158" s="172"/>
      <c r="G158" s="136" t="s">
        <v>102</v>
      </c>
      <c r="H158" s="236" t="s">
        <v>814</v>
      </c>
      <c r="I158" s="235"/>
      <c r="J158" s="379" t="s">
        <v>712</v>
      </c>
      <c r="K158" s="101" t="s">
        <v>670</v>
      </c>
      <c r="L158" s="115">
        <f t="shared" si="9"/>
        <v>0</v>
      </c>
      <c r="M158" s="110">
        <f>'дод.3'!E334</f>
        <v>0</v>
      </c>
      <c r="N158" s="110"/>
      <c r="O158" s="110"/>
    </row>
    <row r="159" spans="1:15" s="245" customFormat="1" ht="41.25" hidden="1">
      <c r="A159" s="244"/>
      <c r="B159" s="172"/>
      <c r="C159" s="172"/>
      <c r="D159" s="172" t="s">
        <v>9</v>
      </c>
      <c r="E159" s="136" t="s">
        <v>54</v>
      </c>
      <c r="F159" s="172"/>
      <c r="G159" s="136" t="s">
        <v>102</v>
      </c>
      <c r="H159" s="236" t="s">
        <v>10</v>
      </c>
      <c r="I159" s="235"/>
      <c r="J159" s="379" t="s">
        <v>350</v>
      </c>
      <c r="K159" s="101" t="s">
        <v>673</v>
      </c>
      <c r="L159" s="115">
        <f t="shared" si="9"/>
        <v>0</v>
      </c>
      <c r="M159" s="110">
        <f>'дод.3'!E336</f>
        <v>0</v>
      </c>
      <c r="N159" s="110"/>
      <c r="O159" s="110"/>
    </row>
    <row r="160" spans="1:15" s="40" customFormat="1" ht="15" hidden="1">
      <c r="A160" s="1"/>
      <c r="B160" s="44"/>
      <c r="C160" s="44"/>
      <c r="D160" s="44" t="s">
        <v>609</v>
      </c>
      <c r="E160" s="109" t="s">
        <v>55</v>
      </c>
      <c r="F160" s="134" t="s">
        <v>898</v>
      </c>
      <c r="G160" s="109" t="s">
        <v>899</v>
      </c>
      <c r="H160" s="417" t="s">
        <v>608</v>
      </c>
      <c r="I160" s="418" t="s">
        <v>900</v>
      </c>
      <c r="J160" s="978" t="s">
        <v>326</v>
      </c>
      <c r="K160" s="274"/>
      <c r="L160" s="115">
        <f t="shared" si="9"/>
        <v>0</v>
      </c>
      <c r="M160" s="112">
        <f>'дод.3'!E328</f>
        <v>0</v>
      </c>
      <c r="N160" s="112"/>
      <c r="O160" s="112"/>
    </row>
    <row r="161" spans="1:15" s="40" customFormat="1" ht="46.5" customHeight="1" hidden="1">
      <c r="A161" s="1"/>
      <c r="B161" s="44"/>
      <c r="C161" s="44"/>
      <c r="D161" s="44" t="s">
        <v>384</v>
      </c>
      <c r="E161" s="109" t="s">
        <v>383</v>
      </c>
      <c r="F161" s="134"/>
      <c r="G161" s="109" t="s">
        <v>899</v>
      </c>
      <c r="H161" s="417" t="s">
        <v>392</v>
      </c>
      <c r="I161" s="418"/>
      <c r="J161" s="979"/>
      <c r="K161" s="281" t="s">
        <v>657</v>
      </c>
      <c r="L161" s="115">
        <f t="shared" si="9"/>
        <v>0</v>
      </c>
      <c r="M161" s="112">
        <f>'дод.3'!F329</f>
        <v>0</v>
      </c>
      <c r="N161" s="112"/>
      <c r="O161" s="112"/>
    </row>
    <row r="162" spans="1:15" s="245" customFormat="1" ht="13.5">
      <c r="A162" s="244"/>
      <c r="B162" s="44" t="s">
        <v>832</v>
      </c>
      <c r="C162" s="44"/>
      <c r="D162" s="376" t="s">
        <v>385</v>
      </c>
      <c r="E162" s="377"/>
      <c r="F162" s="376"/>
      <c r="G162" s="376"/>
      <c r="H162" s="107" t="s">
        <v>288</v>
      </c>
      <c r="I162" s="107" t="s">
        <v>338</v>
      </c>
      <c r="J162" s="415"/>
      <c r="K162" s="415"/>
      <c r="L162" s="108">
        <f>M162+N162</f>
        <v>8005736</v>
      </c>
      <c r="M162" s="108">
        <f>M163</f>
        <v>8005736</v>
      </c>
      <c r="N162" s="108">
        <f>N163</f>
        <v>0</v>
      </c>
      <c r="O162" s="108">
        <f>O163</f>
        <v>0</v>
      </c>
    </row>
    <row r="163" spans="1:15" s="245" customFormat="1" ht="13.5">
      <c r="A163" s="244"/>
      <c r="B163" s="44" t="s">
        <v>832</v>
      </c>
      <c r="C163" s="44"/>
      <c r="D163" s="376" t="s">
        <v>386</v>
      </c>
      <c r="E163" s="377"/>
      <c r="F163" s="376"/>
      <c r="G163" s="376"/>
      <c r="H163" s="107" t="s">
        <v>288</v>
      </c>
      <c r="I163" s="107" t="s">
        <v>338</v>
      </c>
      <c r="J163" s="415"/>
      <c r="K163" s="415"/>
      <c r="L163" s="108">
        <f>L164+L170+L171+L172+L169+L168</f>
        <v>8005736</v>
      </c>
      <c r="M163" s="108">
        <f>M164+M170+M171+M172+M169</f>
        <v>8005736</v>
      </c>
      <c r="N163" s="108">
        <f>N164+N168</f>
        <v>0</v>
      </c>
      <c r="O163" s="108">
        <f>O164+O168</f>
        <v>0</v>
      </c>
    </row>
    <row r="164" spans="1:15" s="245" customFormat="1" ht="15" customHeight="1">
      <c r="A164" s="244"/>
      <c r="B164" s="172"/>
      <c r="C164" s="172"/>
      <c r="D164" s="914" t="s">
        <v>287</v>
      </c>
      <c r="E164" s="920" t="s">
        <v>106</v>
      </c>
      <c r="F164" s="172"/>
      <c r="G164" s="920" t="s">
        <v>889</v>
      </c>
      <c r="H164" s="987" t="s">
        <v>76</v>
      </c>
      <c r="I164" s="235"/>
      <c r="J164" s="379"/>
      <c r="K164" s="379"/>
      <c r="L164" s="115">
        <f>L165+L167+L166</f>
        <v>5920336</v>
      </c>
      <c r="M164" s="110">
        <f>M165+M167+M166</f>
        <v>5920336</v>
      </c>
      <c r="N164" s="110">
        <f>N165+N167</f>
        <v>0</v>
      </c>
      <c r="O164" s="110">
        <f>O165+O167</f>
        <v>0</v>
      </c>
    </row>
    <row r="165" spans="1:15" s="245" customFormat="1" ht="45.75" customHeight="1">
      <c r="A165" s="244"/>
      <c r="B165" s="172"/>
      <c r="C165" s="172"/>
      <c r="D165" s="915"/>
      <c r="E165" s="921"/>
      <c r="F165" s="172"/>
      <c r="G165" s="921"/>
      <c r="H165" s="988"/>
      <c r="I165" s="235"/>
      <c r="J165" s="379" t="s">
        <v>662</v>
      </c>
      <c r="K165" s="101" t="s">
        <v>669</v>
      </c>
      <c r="L165" s="115">
        <f aca="true" t="shared" si="10" ref="L165:L172">M165+N165</f>
        <v>240000</v>
      </c>
      <c r="M165" s="110">
        <f>'дод.3'!E341</f>
        <v>240000</v>
      </c>
      <c r="N165" s="110"/>
      <c r="O165" s="110"/>
    </row>
    <row r="166" spans="1:15" s="245" customFormat="1" ht="34.5" customHeight="1">
      <c r="A166" s="244"/>
      <c r="B166" s="172"/>
      <c r="C166" s="172"/>
      <c r="D166" s="915"/>
      <c r="E166" s="921"/>
      <c r="F166" s="172"/>
      <c r="G166" s="921"/>
      <c r="H166" s="988"/>
      <c r="I166" s="235"/>
      <c r="J166" s="379" t="s">
        <v>202</v>
      </c>
      <c r="K166" s="101" t="s">
        <v>201</v>
      </c>
      <c r="L166" s="115">
        <f t="shared" si="10"/>
        <v>185000</v>
      </c>
      <c r="M166" s="110">
        <f>'дод.3'!E342</f>
        <v>185000</v>
      </c>
      <c r="N166" s="110"/>
      <c r="O166" s="110"/>
    </row>
    <row r="167" spans="1:15" s="245" customFormat="1" ht="42" customHeight="1">
      <c r="A167" s="244"/>
      <c r="B167" s="172"/>
      <c r="C167" s="172"/>
      <c r="D167" s="916"/>
      <c r="E167" s="922"/>
      <c r="F167" s="172"/>
      <c r="G167" s="922"/>
      <c r="H167" s="989"/>
      <c r="I167" s="235"/>
      <c r="J167" s="379" t="s">
        <v>710</v>
      </c>
      <c r="K167" s="101" t="s">
        <v>671</v>
      </c>
      <c r="L167" s="115">
        <f t="shared" si="10"/>
        <v>5495336</v>
      </c>
      <c r="M167" s="110">
        <f>'дод.3'!E343</f>
        <v>5495336</v>
      </c>
      <c r="N167" s="110"/>
      <c r="O167" s="110"/>
    </row>
    <row r="168" spans="1:15" s="245" customFormat="1" ht="42" customHeight="1" hidden="1">
      <c r="A168" s="244"/>
      <c r="B168" s="172"/>
      <c r="C168" s="172"/>
      <c r="D168" s="229" t="s">
        <v>211</v>
      </c>
      <c r="E168" s="219" t="s">
        <v>213</v>
      </c>
      <c r="F168" s="172"/>
      <c r="G168" s="219" t="s">
        <v>758</v>
      </c>
      <c r="H168" s="358" t="s">
        <v>212</v>
      </c>
      <c r="I168" s="235"/>
      <c r="J168" s="379" t="s">
        <v>710</v>
      </c>
      <c r="K168" s="101" t="s">
        <v>671</v>
      </c>
      <c r="L168" s="115">
        <f>M168+N168</f>
        <v>0</v>
      </c>
      <c r="M168" s="110"/>
      <c r="N168" s="110"/>
      <c r="O168" s="110"/>
    </row>
    <row r="169" spans="1:15" s="245" customFormat="1" ht="48" customHeight="1">
      <c r="A169" s="244"/>
      <c r="B169" s="172"/>
      <c r="C169" s="172"/>
      <c r="D169" s="172" t="s">
        <v>178</v>
      </c>
      <c r="E169" s="136" t="s">
        <v>52</v>
      </c>
      <c r="F169" s="172"/>
      <c r="G169" s="136" t="s">
        <v>411</v>
      </c>
      <c r="H169" s="236" t="s">
        <v>7</v>
      </c>
      <c r="I169" s="235"/>
      <c r="J169" s="379" t="s">
        <v>51</v>
      </c>
      <c r="K169" s="101" t="s">
        <v>669</v>
      </c>
      <c r="L169" s="115">
        <f t="shared" si="10"/>
        <v>217300</v>
      </c>
      <c r="M169" s="110">
        <f>'дод.3'!E346</f>
        <v>217300</v>
      </c>
      <c r="N169" s="110"/>
      <c r="O169" s="110"/>
    </row>
    <row r="170" spans="1:15" s="245" customFormat="1" ht="66" customHeight="1">
      <c r="A170" s="244"/>
      <c r="B170" s="172"/>
      <c r="C170" s="172"/>
      <c r="D170" s="172" t="s">
        <v>289</v>
      </c>
      <c r="E170" s="136" t="s">
        <v>53</v>
      </c>
      <c r="F170" s="172"/>
      <c r="G170" s="136" t="s">
        <v>102</v>
      </c>
      <c r="H170" s="236" t="s">
        <v>814</v>
      </c>
      <c r="I170" s="235"/>
      <c r="J170" s="379" t="s">
        <v>712</v>
      </c>
      <c r="K170" s="101" t="s">
        <v>670</v>
      </c>
      <c r="L170" s="115">
        <f t="shared" si="10"/>
        <v>845704</v>
      </c>
      <c r="M170" s="110">
        <f>'дод.3'!E348</f>
        <v>845704</v>
      </c>
      <c r="N170" s="110"/>
      <c r="O170" s="110"/>
    </row>
    <row r="171" spans="1:15" s="245" customFormat="1" ht="41.25" hidden="1">
      <c r="A171" s="244"/>
      <c r="B171" s="172"/>
      <c r="C171" s="172"/>
      <c r="D171" s="172" t="s">
        <v>290</v>
      </c>
      <c r="E171" s="136" t="s">
        <v>54</v>
      </c>
      <c r="F171" s="172"/>
      <c r="G171" s="136" t="s">
        <v>102</v>
      </c>
      <c r="H171" s="236" t="s">
        <v>10</v>
      </c>
      <c r="I171" s="235"/>
      <c r="J171" s="379" t="s">
        <v>350</v>
      </c>
      <c r="K171" s="101" t="s">
        <v>673</v>
      </c>
      <c r="L171" s="115">
        <f t="shared" si="10"/>
        <v>0</v>
      </c>
      <c r="M171" s="110">
        <f>'дод.3'!E350</f>
        <v>0</v>
      </c>
      <c r="N171" s="110"/>
      <c r="O171" s="110"/>
    </row>
    <row r="172" spans="1:15" s="245" customFormat="1" ht="51.75" customHeight="1">
      <c r="A172" s="244"/>
      <c r="B172" s="172"/>
      <c r="C172" s="172"/>
      <c r="D172" s="229" t="s">
        <v>291</v>
      </c>
      <c r="E172" s="219" t="s">
        <v>383</v>
      </c>
      <c r="F172" s="172"/>
      <c r="G172" s="219" t="s">
        <v>899</v>
      </c>
      <c r="H172" s="358" t="s">
        <v>392</v>
      </c>
      <c r="I172" s="235"/>
      <c r="J172" s="379" t="s">
        <v>247</v>
      </c>
      <c r="K172" s="101" t="s">
        <v>248</v>
      </c>
      <c r="L172" s="115">
        <f t="shared" si="10"/>
        <v>1022396</v>
      </c>
      <c r="M172" s="110">
        <f>'дод.3'!E351</f>
        <v>1022396</v>
      </c>
      <c r="N172" s="110"/>
      <c r="O172" s="110"/>
    </row>
    <row r="173" spans="2:15" ht="13.5">
      <c r="B173" s="50" t="s">
        <v>357</v>
      </c>
      <c r="C173" s="50"/>
      <c r="D173" s="376" t="s">
        <v>364</v>
      </c>
      <c r="E173" s="377"/>
      <c r="F173" s="376"/>
      <c r="G173" s="376"/>
      <c r="H173" s="114" t="s">
        <v>65</v>
      </c>
      <c r="I173" s="114" t="s">
        <v>344</v>
      </c>
      <c r="J173" s="378"/>
      <c r="K173" s="378"/>
      <c r="L173" s="108">
        <f aca="true" t="shared" si="11" ref="L173:L187">M173+N173</f>
        <v>17488783.3</v>
      </c>
      <c r="M173" s="108">
        <f>M174</f>
        <v>14011851.23</v>
      </c>
      <c r="N173" s="108">
        <f>N174</f>
        <v>3476932.0700000003</v>
      </c>
      <c r="O173" s="108">
        <f>O174</f>
        <v>3476932.0700000003</v>
      </c>
    </row>
    <row r="174" spans="2:15" ht="13.5">
      <c r="B174" s="50" t="s">
        <v>357</v>
      </c>
      <c r="C174" s="50"/>
      <c r="D174" s="376" t="s">
        <v>365</v>
      </c>
      <c r="E174" s="377"/>
      <c r="F174" s="376"/>
      <c r="G174" s="376"/>
      <c r="H174" s="114" t="s">
        <v>65</v>
      </c>
      <c r="I174" s="114" t="s">
        <v>344</v>
      </c>
      <c r="J174" s="378"/>
      <c r="K174" s="378"/>
      <c r="L174" s="108">
        <f t="shared" si="11"/>
        <v>17488783.3</v>
      </c>
      <c r="M174" s="108">
        <f>SUM(M175:M180)</f>
        <v>14011851.23</v>
      </c>
      <c r="N174" s="108">
        <f>SUM(N175:N180)</f>
        <v>3476932.0700000003</v>
      </c>
      <c r="O174" s="108">
        <f>SUM(O175:O180)</f>
        <v>3476932.0700000003</v>
      </c>
    </row>
    <row r="175" spans="2:15" ht="48.75" customHeight="1">
      <c r="B175" s="50"/>
      <c r="C175" s="50"/>
      <c r="D175" s="229" t="s">
        <v>366</v>
      </c>
      <c r="E175" s="219" t="s">
        <v>367</v>
      </c>
      <c r="F175" s="368" t="s">
        <v>826</v>
      </c>
      <c r="G175" s="219" t="s">
        <v>105</v>
      </c>
      <c r="H175" s="365" t="s">
        <v>360</v>
      </c>
      <c r="I175" s="365" t="s">
        <v>545</v>
      </c>
      <c r="J175" s="292" t="s">
        <v>716</v>
      </c>
      <c r="K175" s="281" t="s">
        <v>676</v>
      </c>
      <c r="L175" s="111">
        <f t="shared" si="11"/>
        <v>12699369</v>
      </c>
      <c r="M175" s="110">
        <f>'дод.3'!E356</f>
        <v>12699369</v>
      </c>
      <c r="N175" s="110"/>
      <c r="O175" s="112"/>
    </row>
    <row r="176" spans="2:15" ht="50.25" customHeight="1">
      <c r="B176" s="50"/>
      <c r="C176" s="50"/>
      <c r="D176" s="229" t="s">
        <v>77</v>
      </c>
      <c r="E176" s="219" t="s">
        <v>78</v>
      </c>
      <c r="F176" s="368"/>
      <c r="G176" s="219" t="s">
        <v>827</v>
      </c>
      <c r="H176" s="365" t="s">
        <v>545</v>
      </c>
      <c r="I176" s="365"/>
      <c r="J176" s="261" t="s">
        <v>880</v>
      </c>
      <c r="K176" s="436" t="s">
        <v>204</v>
      </c>
      <c r="L176" s="111">
        <f t="shared" si="11"/>
        <v>576682.23</v>
      </c>
      <c r="M176" s="110">
        <f>'дод.3'!E357</f>
        <v>576682.23</v>
      </c>
      <c r="N176" s="115"/>
      <c r="O176" s="112"/>
    </row>
    <row r="177" spans="2:15" ht="50.25" customHeight="1">
      <c r="B177" s="50"/>
      <c r="C177" s="50"/>
      <c r="D177" s="229" t="s">
        <v>214</v>
      </c>
      <c r="E177" s="219" t="s">
        <v>213</v>
      </c>
      <c r="F177" s="172"/>
      <c r="G177" s="219" t="s">
        <v>758</v>
      </c>
      <c r="H177" s="358" t="s">
        <v>212</v>
      </c>
      <c r="I177" s="365"/>
      <c r="J177" s="292" t="s">
        <v>716</v>
      </c>
      <c r="K177" s="281" t="s">
        <v>676</v>
      </c>
      <c r="L177" s="111">
        <f t="shared" si="11"/>
        <v>3476932.0700000003</v>
      </c>
      <c r="M177" s="110"/>
      <c r="N177" s="110">
        <f>3446932.07+1000000-970000</f>
        <v>3476932.0700000003</v>
      </c>
      <c r="O177" s="112">
        <f>N177</f>
        <v>3476932.0700000003</v>
      </c>
    </row>
    <row r="178" spans="2:15" ht="54" customHeight="1">
      <c r="B178" s="50"/>
      <c r="C178" s="50"/>
      <c r="D178" s="229" t="s">
        <v>303</v>
      </c>
      <c r="E178" s="219" t="s">
        <v>307</v>
      </c>
      <c r="F178" s="368"/>
      <c r="G178" s="219" t="s">
        <v>305</v>
      </c>
      <c r="H178" s="365" t="s">
        <v>304</v>
      </c>
      <c r="I178" s="365"/>
      <c r="J178" s="292" t="s">
        <v>306</v>
      </c>
      <c r="K178" s="281" t="s">
        <v>677</v>
      </c>
      <c r="L178" s="111">
        <f t="shared" si="11"/>
        <v>160000</v>
      </c>
      <c r="M178" s="110">
        <f>'дод.3'!E362</f>
        <v>160000</v>
      </c>
      <c r="N178" s="115"/>
      <c r="O178" s="112"/>
    </row>
    <row r="179" spans="2:15" ht="47.25" customHeight="1">
      <c r="B179" s="50"/>
      <c r="C179" s="50"/>
      <c r="D179" s="229" t="s">
        <v>43</v>
      </c>
      <c r="E179" s="219" t="s">
        <v>44</v>
      </c>
      <c r="F179" s="368"/>
      <c r="G179" s="219" t="s">
        <v>46</v>
      </c>
      <c r="H179" s="365" t="s">
        <v>45</v>
      </c>
      <c r="I179" s="365" t="s">
        <v>66</v>
      </c>
      <c r="J179" s="296" t="s">
        <v>678</v>
      </c>
      <c r="K179" s="281" t="s">
        <v>679</v>
      </c>
      <c r="L179" s="111">
        <f t="shared" si="11"/>
        <v>285800</v>
      </c>
      <c r="M179" s="110">
        <f>'дод.3'!E364</f>
        <v>285800</v>
      </c>
      <c r="N179" s="115"/>
      <c r="O179" s="112"/>
    </row>
    <row r="180" spans="2:15" ht="41.25">
      <c r="B180" s="50"/>
      <c r="C180" s="50"/>
      <c r="D180" s="229" t="s">
        <v>41</v>
      </c>
      <c r="E180" s="219" t="s">
        <v>42</v>
      </c>
      <c r="F180" s="368"/>
      <c r="G180" s="219" t="s">
        <v>411</v>
      </c>
      <c r="H180" s="365" t="s">
        <v>133</v>
      </c>
      <c r="I180" s="365"/>
      <c r="J180" s="405" t="s">
        <v>847</v>
      </c>
      <c r="K180" s="281" t="s">
        <v>140</v>
      </c>
      <c r="L180" s="111">
        <f t="shared" si="11"/>
        <v>290000</v>
      </c>
      <c r="M180" s="110">
        <f>'дод.3'!E368</f>
        <v>290000</v>
      </c>
      <c r="N180" s="115"/>
      <c r="O180" s="112"/>
    </row>
    <row r="181" spans="2:15" ht="13.5">
      <c r="B181" s="50"/>
      <c r="C181" s="50"/>
      <c r="D181" s="376" t="s">
        <v>361</v>
      </c>
      <c r="E181" s="377"/>
      <c r="F181" s="376"/>
      <c r="G181" s="376"/>
      <c r="H181" s="114" t="s">
        <v>67</v>
      </c>
      <c r="I181" s="114" t="s">
        <v>344</v>
      </c>
      <c r="J181" s="378"/>
      <c r="K181" s="378"/>
      <c r="L181" s="108" t="e">
        <f t="shared" si="11"/>
        <v>#REF!</v>
      </c>
      <c r="M181" s="108">
        <f>M182</f>
        <v>354639</v>
      </c>
      <c r="N181" s="108" t="e">
        <f>N182</f>
        <v>#REF!</v>
      </c>
      <c r="O181" s="108" t="e">
        <f>O182</f>
        <v>#REF!</v>
      </c>
    </row>
    <row r="182" spans="2:15" ht="13.5">
      <c r="B182" s="52"/>
      <c r="C182" s="52"/>
      <c r="D182" s="366" t="s">
        <v>362</v>
      </c>
      <c r="E182" s="446"/>
      <c r="F182" s="366"/>
      <c r="G182" s="366"/>
      <c r="H182" s="237" t="s">
        <v>67</v>
      </c>
      <c r="I182" s="237" t="s">
        <v>344</v>
      </c>
      <c r="J182" s="447"/>
      <c r="K182" s="447"/>
      <c r="L182" s="448" t="e">
        <f>M182+N182</f>
        <v>#REF!</v>
      </c>
      <c r="M182" s="448">
        <f>SUM(M183:M187)</f>
        <v>354639</v>
      </c>
      <c r="N182" s="448" t="e">
        <f>SUM(N183:N187)</f>
        <v>#REF!</v>
      </c>
      <c r="O182" s="448" t="e">
        <f>SUM(O183:O187)</f>
        <v>#REF!</v>
      </c>
    </row>
    <row r="183" spans="1:15" s="278" customFormat="1" ht="45" customHeight="1">
      <c r="A183" s="449"/>
      <c r="B183" s="206"/>
      <c r="C183" s="206"/>
      <c r="D183" s="400" t="s">
        <v>363</v>
      </c>
      <c r="E183" s="165" t="s">
        <v>367</v>
      </c>
      <c r="F183" s="165"/>
      <c r="G183" s="165" t="s">
        <v>105</v>
      </c>
      <c r="H183" s="279" t="s">
        <v>360</v>
      </c>
      <c r="I183" s="279"/>
      <c r="J183" s="981" t="s">
        <v>658</v>
      </c>
      <c r="K183" s="951" t="s">
        <v>659</v>
      </c>
      <c r="L183" s="112">
        <f t="shared" si="11"/>
        <v>318119</v>
      </c>
      <c r="M183" s="300">
        <v>318119</v>
      </c>
      <c r="N183" s="300"/>
      <c r="O183" s="300"/>
    </row>
    <row r="184" spans="1:15" ht="13.5">
      <c r="A184" s="450"/>
      <c r="B184" s="100"/>
      <c r="C184" s="100"/>
      <c r="D184" s="172" t="s">
        <v>568</v>
      </c>
      <c r="E184" s="136" t="s">
        <v>42</v>
      </c>
      <c r="F184" s="136"/>
      <c r="G184" s="136" t="s">
        <v>411</v>
      </c>
      <c r="H184" s="306" t="s">
        <v>569</v>
      </c>
      <c r="I184" s="306"/>
      <c r="J184" s="981"/>
      <c r="K184" s="951"/>
      <c r="L184" s="111">
        <f t="shared" si="11"/>
        <v>10815</v>
      </c>
      <c r="M184" s="110">
        <f>'дод.3'!E376</f>
        <v>10815</v>
      </c>
      <c r="N184" s="115"/>
      <c r="O184" s="115"/>
    </row>
    <row r="185" spans="1:15" ht="13.5">
      <c r="A185" s="450"/>
      <c r="B185" s="50"/>
      <c r="C185" s="50"/>
      <c r="D185" s="44" t="s">
        <v>612</v>
      </c>
      <c r="E185" s="101">
        <v>8600</v>
      </c>
      <c r="F185" s="109">
        <v>230000</v>
      </c>
      <c r="G185" s="109" t="s">
        <v>849</v>
      </c>
      <c r="H185" s="163" t="s">
        <v>322</v>
      </c>
      <c r="I185" s="396" t="s">
        <v>850</v>
      </c>
      <c r="J185" s="981"/>
      <c r="K185" s="951"/>
      <c r="L185" s="111">
        <f t="shared" si="11"/>
        <v>25705</v>
      </c>
      <c r="M185" s="112">
        <f>'дод.3'!E377</f>
        <v>25705</v>
      </c>
      <c r="N185" s="112"/>
      <c r="O185" s="112"/>
    </row>
    <row r="186" spans="1:15" ht="50.25" customHeight="1">
      <c r="A186" s="450"/>
      <c r="B186" s="50"/>
      <c r="C186" s="50"/>
      <c r="D186" s="44" t="s">
        <v>218</v>
      </c>
      <c r="E186" s="101">
        <v>8881</v>
      </c>
      <c r="F186" s="109"/>
      <c r="G186" s="109" t="s">
        <v>411</v>
      </c>
      <c r="H186" s="163" t="s">
        <v>697</v>
      </c>
      <c r="I186" s="396"/>
      <c r="J186" s="981"/>
      <c r="K186" s="951"/>
      <c r="L186" s="111" t="e">
        <f t="shared" si="11"/>
        <v>#REF!</v>
      </c>
      <c r="M186" s="112"/>
      <c r="N186" s="112" t="e">
        <f>#REF!</f>
        <v>#REF!</v>
      </c>
      <c r="O186" s="112" t="e">
        <f>#REF!</f>
        <v>#REF!</v>
      </c>
    </row>
    <row r="187" spans="1:15" ht="54.75">
      <c r="A187" s="450"/>
      <c r="B187" s="50"/>
      <c r="C187" s="50"/>
      <c r="D187" s="44" t="s">
        <v>282</v>
      </c>
      <c r="E187" s="101">
        <v>9800</v>
      </c>
      <c r="F187" s="109"/>
      <c r="G187" s="109" t="s">
        <v>106</v>
      </c>
      <c r="H187" s="163" t="s">
        <v>599</v>
      </c>
      <c r="I187" s="396"/>
      <c r="J187" s="382" t="s">
        <v>714</v>
      </c>
      <c r="K187" s="430" t="s">
        <v>715</v>
      </c>
      <c r="L187" s="111">
        <f t="shared" si="11"/>
        <v>1000000</v>
      </c>
      <c r="M187" s="112"/>
      <c r="N187" s="112">
        <f>'дод.3'!M380</f>
        <v>1000000</v>
      </c>
      <c r="O187" s="112">
        <f>N187</f>
        <v>1000000</v>
      </c>
    </row>
    <row r="188" spans="1:15" ht="22.5" customHeight="1">
      <c r="A188" s="450"/>
      <c r="B188" s="101"/>
      <c r="C188" s="451" t="s">
        <v>412</v>
      </c>
      <c r="D188" s="990" t="s">
        <v>163</v>
      </c>
      <c r="E188" s="990"/>
      <c r="F188" s="990"/>
      <c r="G188" s="990"/>
      <c r="H188" s="990"/>
      <c r="I188" s="990"/>
      <c r="J188" s="990"/>
      <c r="K188" s="451"/>
      <c r="L188" s="126" t="e">
        <f>L13+L55+L83+L100+L131+L134+L146+L173+L181+L10+L162</f>
        <v>#REF!</v>
      </c>
      <c r="M188" s="126" t="e">
        <f>M13+M55+M83+M100+M131+M134+M146+M173+M181+M10+M162</f>
        <v>#REF!</v>
      </c>
      <c r="N188" s="126" t="e">
        <f>N13+N55+N83+N100+N131+N134+N146+N173+N181+N10+N162</f>
        <v>#REF!</v>
      </c>
      <c r="O188" s="126" t="e">
        <f>O13+O55+O83+O100+O131+O134+O146+O173+O181+O10+O162</f>
        <v>#REF!</v>
      </c>
    </row>
    <row r="189" spans="12:15" ht="12.75">
      <c r="L189" s="253"/>
      <c r="O189" s="253"/>
    </row>
    <row r="190" spans="1:30" s="249" customFormat="1" ht="24" customHeight="1">
      <c r="A190" s="82"/>
      <c r="B190" s="247"/>
      <c r="C190" s="247"/>
      <c r="D190" s="420"/>
      <c r="E190" s="421"/>
      <c r="F190" s="983" t="s">
        <v>283</v>
      </c>
      <c r="G190" s="983"/>
      <c r="H190" s="983"/>
      <c r="I190" s="983"/>
      <c r="J190" s="983"/>
      <c r="K190" s="423"/>
      <c r="L190" s="215"/>
      <c r="M190" s="248"/>
      <c r="N190" s="85"/>
      <c r="O190" s="215" t="s">
        <v>700</v>
      </c>
      <c r="Q190" s="215"/>
      <c r="R190" s="215"/>
      <c r="S190" s="215"/>
      <c r="T190" s="215"/>
      <c r="U190" s="215"/>
      <c r="V190" s="215"/>
      <c r="W190" s="215"/>
      <c r="X190" s="215"/>
      <c r="Y190" s="215"/>
      <c r="Z190" s="215"/>
      <c r="AA190" s="215"/>
      <c r="AB190" s="215"/>
      <c r="AC190" s="215"/>
      <c r="AD190" s="215"/>
    </row>
    <row r="192" spans="1:15" s="252" customFormat="1" ht="17.25">
      <c r="A192" s="250"/>
      <c r="B192" s="215" t="s">
        <v>413</v>
      </c>
      <c r="C192" s="215" t="s">
        <v>469</v>
      </c>
      <c r="D192" s="422"/>
      <c r="E192" s="423"/>
      <c r="F192" s="424"/>
      <c r="G192" s="425"/>
      <c r="H192" s="425"/>
      <c r="I192" s="425"/>
      <c r="J192" s="425"/>
      <c r="K192" s="425"/>
      <c r="L192" s="251"/>
      <c r="M192" s="251"/>
      <c r="N192" s="251"/>
      <c r="O192" s="251"/>
    </row>
    <row r="193" spans="1:14" ht="12.75">
      <c r="A193" s="1"/>
      <c r="B193" s="1"/>
      <c r="C193" s="1"/>
      <c r="D193" s="426"/>
      <c r="E193" s="427"/>
      <c r="F193" s="426"/>
      <c r="G193" s="427"/>
      <c r="H193" s="427"/>
      <c r="I193" s="427"/>
      <c r="J193" s="427"/>
      <c r="K193" s="427"/>
      <c r="M193" s="139"/>
      <c r="N193" s="139"/>
    </row>
  </sheetData>
  <sheetProtection/>
  <mergeCells count="142">
    <mergeCell ref="D140:D141"/>
    <mergeCell ref="E140:E141"/>
    <mergeCell ref="G140:G141"/>
    <mergeCell ref="H140:H141"/>
    <mergeCell ref="D72:D75"/>
    <mergeCell ref="E72:E75"/>
    <mergeCell ref="G72:G75"/>
    <mergeCell ref="H72:H75"/>
    <mergeCell ref="G98:G99"/>
    <mergeCell ref="H98:H99"/>
    <mergeCell ref="H68:H70"/>
    <mergeCell ref="G78:G81"/>
    <mergeCell ref="H78:H81"/>
    <mergeCell ref="D68:D70"/>
    <mergeCell ref="G92:G93"/>
    <mergeCell ref="H94:H95"/>
    <mergeCell ref="H92:H93"/>
    <mergeCell ref="G94:G95"/>
    <mergeCell ref="G121:G123"/>
    <mergeCell ref="J117:J118"/>
    <mergeCell ref="G103:G105"/>
    <mergeCell ref="J108:J109"/>
    <mergeCell ref="J111:J112"/>
    <mergeCell ref="H110:H111"/>
    <mergeCell ref="H103:H105"/>
    <mergeCell ref="J106:J107"/>
    <mergeCell ref="I110:I112"/>
    <mergeCell ref="E103:E105"/>
    <mergeCell ref="F110:F112"/>
    <mergeCell ref="D78:D81"/>
    <mergeCell ref="E121:E123"/>
    <mergeCell ref="D103:D105"/>
    <mergeCell ref="D94:D95"/>
    <mergeCell ref="D92:D93"/>
    <mergeCell ref="D121:D123"/>
    <mergeCell ref="D148:D153"/>
    <mergeCell ref="D110:D111"/>
    <mergeCell ref="E57:E64"/>
    <mergeCell ref="F94:F95"/>
    <mergeCell ref="F58:F64"/>
    <mergeCell ref="E78:E81"/>
    <mergeCell ref="F98:F99"/>
    <mergeCell ref="E110:E111"/>
    <mergeCell ref="E98:E99"/>
    <mergeCell ref="E94:E95"/>
    <mergeCell ref="E50:E51"/>
    <mergeCell ref="G50:G51"/>
    <mergeCell ref="D98:D99"/>
    <mergeCell ref="D65:D67"/>
    <mergeCell ref="E65:E67"/>
    <mergeCell ref="G65:G67"/>
    <mergeCell ref="G68:G70"/>
    <mergeCell ref="F68:F70"/>
    <mergeCell ref="G57:G64"/>
    <mergeCell ref="F190:J190"/>
    <mergeCell ref="E148:E153"/>
    <mergeCell ref="G148:G153"/>
    <mergeCell ref="H148:H153"/>
    <mergeCell ref="H164:H167"/>
    <mergeCell ref="G164:G167"/>
    <mergeCell ref="E164:E167"/>
    <mergeCell ref="D188:J188"/>
    <mergeCell ref="D164:D167"/>
    <mergeCell ref="J160:J161"/>
    <mergeCell ref="N8:O8"/>
    <mergeCell ref="M8:M9"/>
    <mergeCell ref="L8:L9"/>
    <mergeCell ref="K8:K9"/>
    <mergeCell ref="J183:J186"/>
    <mergeCell ref="E92:E93"/>
    <mergeCell ref="G110:G111"/>
    <mergeCell ref="K127:K128"/>
    <mergeCell ref="J127:J128"/>
    <mergeCell ref="K117:K118"/>
    <mergeCell ref="D8:D9"/>
    <mergeCell ref="H8:H9"/>
    <mergeCell ref="D30:D31"/>
    <mergeCell ref="J8:J9"/>
    <mergeCell ref="I98:I99"/>
    <mergeCell ref="I58:I64"/>
    <mergeCell ref="I68:I70"/>
    <mergeCell ref="I94:I95"/>
    <mergeCell ref="J33:J36"/>
    <mergeCell ref="J89:J90"/>
    <mergeCell ref="G8:G9"/>
    <mergeCell ref="E8:E9"/>
    <mergeCell ref="G30:G31"/>
    <mergeCell ref="E30:E31"/>
    <mergeCell ref="N1:O2"/>
    <mergeCell ref="I35:I40"/>
    <mergeCell ref="B4:O4"/>
    <mergeCell ref="H36:H40"/>
    <mergeCell ref="D36:D40"/>
    <mergeCell ref="G36:G40"/>
    <mergeCell ref="D15:D17"/>
    <mergeCell ref="D18:D20"/>
    <mergeCell ref="H18:H20"/>
    <mergeCell ref="E36:E40"/>
    <mergeCell ref="H30:H31"/>
    <mergeCell ref="H15:H17"/>
    <mergeCell ref="E15:E17"/>
    <mergeCell ref="G15:G17"/>
    <mergeCell ref="E18:E20"/>
    <mergeCell ref="G18:G20"/>
    <mergeCell ref="K183:K186"/>
    <mergeCell ref="H50:H51"/>
    <mergeCell ref="H46:H48"/>
    <mergeCell ref="H57:H64"/>
    <mergeCell ref="K53:K54"/>
    <mergeCell ref="J53:J54"/>
    <mergeCell ref="H121:H123"/>
    <mergeCell ref="K108:K109"/>
    <mergeCell ref="K89:K90"/>
    <mergeCell ref="H65:H67"/>
    <mergeCell ref="D22:D24"/>
    <mergeCell ref="E22:E24"/>
    <mergeCell ref="G22:G24"/>
    <mergeCell ref="H22:H24"/>
    <mergeCell ref="D25:D27"/>
    <mergeCell ref="E25:E27"/>
    <mergeCell ref="G25:G27"/>
    <mergeCell ref="H25:H27"/>
    <mergeCell ref="G46:G48"/>
    <mergeCell ref="D57:D64"/>
    <mergeCell ref="K33:K36"/>
    <mergeCell ref="J92:J94"/>
    <mergeCell ref="K92:K94"/>
    <mergeCell ref="J85:J87"/>
    <mergeCell ref="K85:K87"/>
    <mergeCell ref="E68:E70"/>
    <mergeCell ref="F35:F40"/>
    <mergeCell ref="D50:D51"/>
    <mergeCell ref="K111:K112"/>
    <mergeCell ref="D41:D44"/>
    <mergeCell ref="E41:E44"/>
    <mergeCell ref="G41:G44"/>
    <mergeCell ref="H41:H44"/>
    <mergeCell ref="J51:J52"/>
    <mergeCell ref="K51:K52"/>
    <mergeCell ref="K106:K107"/>
    <mergeCell ref="D46:D48"/>
    <mergeCell ref="E46:E48"/>
  </mergeCells>
  <printOptions/>
  <pageMargins left="0.35433070866141736" right="0.2362204724409449" top="0.31496062992125984" bottom="0.3937007874015748" header="0.35433070866141736" footer="0.35433070866141736"/>
  <pageSetup fitToHeight="8" horizontalDpi="600" verticalDpi="600" orientation="landscape" paperSize="9" scale="5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V121"/>
  <sheetViews>
    <sheetView tabSelected="1" view="pageBreakPreview" zoomScale="55" zoomScaleNormal="70" zoomScaleSheetLayoutView="55" zoomScalePageLayoutView="0" workbookViewId="0" topLeftCell="A49">
      <selection activeCell="F53" sqref="F53"/>
    </sheetView>
  </sheetViews>
  <sheetFormatPr defaultColWidth="9.16015625" defaultRowHeight="12.75"/>
  <cols>
    <col min="1" max="1" width="12" style="1001" customWidth="1"/>
    <col min="2" max="2" width="194.83203125" style="1051" customWidth="1"/>
    <col min="3" max="3" width="42.5" style="1052" customWidth="1"/>
    <col min="4" max="4" width="27.33203125" style="1004" bestFit="1" customWidth="1"/>
    <col min="5" max="6" width="9.16015625" style="1004" customWidth="1"/>
    <col min="7" max="7" width="30.5" style="1004" bestFit="1" customWidth="1"/>
    <col min="8" max="16384" width="9.16015625" style="1004" customWidth="1"/>
  </cols>
  <sheetData>
    <row r="1" spans="2:3" ht="100.5" customHeight="1">
      <c r="B1" s="1002"/>
      <c r="C1" s="1003" t="s">
        <v>1833</v>
      </c>
    </row>
    <row r="2" spans="2:3" ht="18.75" customHeight="1">
      <c r="B2" s="1005"/>
      <c r="C2" s="1005"/>
    </row>
    <row r="3" spans="1:3" ht="89.25" customHeight="1">
      <c r="A3" s="1006" t="s">
        <v>1834</v>
      </c>
      <c r="B3" s="1007" t="s">
        <v>1835</v>
      </c>
      <c r="C3" s="1008" t="s">
        <v>1836</v>
      </c>
    </row>
    <row r="4" spans="1:3" ht="30">
      <c r="A4" s="1009"/>
      <c r="B4" s="1010" t="s">
        <v>1837</v>
      </c>
      <c r="C4" s="1011"/>
    </row>
    <row r="5" spans="1:3" ht="10.5" customHeight="1">
      <c r="A5" s="1012"/>
      <c r="B5" s="1013"/>
      <c r="C5" s="1014"/>
    </row>
    <row r="6" spans="1:3" ht="30">
      <c r="A6" s="1009"/>
      <c r="B6" s="1015" t="s">
        <v>1838</v>
      </c>
      <c r="C6" s="1016">
        <f>C7+C11+C12+C13+C17+C19</f>
        <v>18433760</v>
      </c>
    </row>
    <row r="7" spans="1:3" ht="60.75">
      <c r="A7" s="1009">
        <v>1</v>
      </c>
      <c r="B7" s="1017" t="s">
        <v>1839</v>
      </c>
      <c r="C7" s="1018">
        <f>SUM(C8:C10)</f>
        <v>961760</v>
      </c>
    </row>
    <row r="8" spans="1:3" s="1021" customFormat="1" ht="91.5">
      <c r="A8" s="1009">
        <v>2</v>
      </c>
      <c r="B8" s="1019" t="s">
        <v>1091</v>
      </c>
      <c r="C8" s="1020">
        <v>300000</v>
      </c>
    </row>
    <row r="9" spans="1:3" s="1021" customFormat="1" ht="60.75">
      <c r="A9" s="1009">
        <v>3</v>
      </c>
      <c r="B9" s="1019" t="s">
        <v>1092</v>
      </c>
      <c r="C9" s="1020">
        <v>250000</v>
      </c>
    </row>
    <row r="10" spans="1:7" s="1021" customFormat="1" ht="60.75">
      <c r="A10" s="1009">
        <v>4</v>
      </c>
      <c r="B10" s="1019" t="s">
        <v>1093</v>
      </c>
      <c r="C10" s="1020">
        <v>411760</v>
      </c>
      <c r="G10" s="1022"/>
    </row>
    <row r="11" spans="1:3" ht="60.75">
      <c r="A11" s="1009">
        <v>5</v>
      </c>
      <c r="B11" s="1023" t="s">
        <v>1840</v>
      </c>
      <c r="C11" s="1018">
        <v>524460</v>
      </c>
    </row>
    <row r="12" spans="1:3" ht="91.5">
      <c r="A12" s="1009">
        <v>6</v>
      </c>
      <c r="B12" s="1023" t="s">
        <v>1841</v>
      </c>
      <c r="C12" s="1018">
        <f>6670387-1162234</f>
        <v>5508153</v>
      </c>
    </row>
    <row r="13" spans="1:3" ht="30">
      <c r="A13" s="1009">
        <v>7</v>
      </c>
      <c r="B13" s="1024" t="s">
        <v>1842</v>
      </c>
      <c r="C13" s="1018">
        <f>SUM(C14:C16)</f>
        <v>110500</v>
      </c>
    </row>
    <row r="14" spans="1:3" ht="60.75">
      <c r="A14" s="1009">
        <v>8</v>
      </c>
      <c r="B14" s="1019" t="s">
        <v>1103</v>
      </c>
      <c r="C14" s="1020">
        <v>80000</v>
      </c>
    </row>
    <row r="15" spans="1:3" ht="122.25">
      <c r="A15" s="1009">
        <v>9</v>
      </c>
      <c r="B15" s="1019" t="s">
        <v>1104</v>
      </c>
      <c r="C15" s="1020">
        <v>12500</v>
      </c>
    </row>
    <row r="16" spans="1:3" ht="122.25">
      <c r="A16" s="1009">
        <v>10</v>
      </c>
      <c r="B16" s="1019" t="s">
        <v>1105</v>
      </c>
      <c r="C16" s="1020">
        <v>18000</v>
      </c>
    </row>
    <row r="17" spans="1:3" ht="60.75">
      <c r="A17" s="1009">
        <v>11</v>
      </c>
      <c r="B17" s="1023" t="s">
        <v>1843</v>
      </c>
      <c r="C17" s="1018">
        <f>C18</f>
        <v>980500</v>
      </c>
    </row>
    <row r="18" spans="1:3" ht="60.75">
      <c r="A18" s="1009">
        <v>12</v>
      </c>
      <c r="B18" s="1019" t="s">
        <v>1118</v>
      </c>
      <c r="C18" s="1020">
        <v>980500</v>
      </c>
    </row>
    <row r="19" spans="1:3" ht="60.75">
      <c r="A19" s="1009">
        <v>13</v>
      </c>
      <c r="B19" s="1023" t="s">
        <v>1844</v>
      </c>
      <c r="C19" s="1018">
        <v>10348387</v>
      </c>
    </row>
    <row r="20" spans="1:3" ht="9" customHeight="1">
      <c r="A20" s="1009"/>
      <c r="B20" s="1025"/>
      <c r="C20" s="1026"/>
    </row>
    <row r="21" spans="1:3" ht="30">
      <c r="A21" s="1009"/>
      <c r="B21" s="1015" t="s">
        <v>1845</v>
      </c>
      <c r="C21" s="1016">
        <f>C22</f>
        <v>-22520944.22</v>
      </c>
    </row>
    <row r="22" spans="1:3" ht="60.75">
      <c r="A22" s="1009">
        <v>14</v>
      </c>
      <c r="B22" s="1023" t="s">
        <v>1846</v>
      </c>
      <c r="C22" s="1018">
        <f>-12223656-10097288.22-200000</f>
        <v>-22520944.22</v>
      </c>
    </row>
    <row r="23" spans="1:74" s="1030" customFormat="1" ht="11.25" customHeight="1">
      <c r="A23" s="1009"/>
      <c r="B23" s="1027"/>
      <c r="C23" s="1028"/>
      <c r="D23" s="1029"/>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c r="BH23" s="1029"/>
      <c r="BI23" s="1029"/>
      <c r="BJ23" s="1029"/>
      <c r="BK23" s="1029"/>
      <c r="BL23" s="1029"/>
      <c r="BM23" s="1029"/>
      <c r="BN23" s="1029"/>
      <c r="BO23" s="1029"/>
      <c r="BP23" s="1029"/>
      <c r="BQ23" s="1029"/>
      <c r="BR23" s="1029"/>
      <c r="BS23" s="1029"/>
      <c r="BT23" s="1029"/>
      <c r="BU23" s="1029"/>
      <c r="BV23" s="1029"/>
    </row>
    <row r="24" spans="1:74" s="1030" customFormat="1" ht="30">
      <c r="A24" s="1009"/>
      <c r="B24" s="1015" t="s">
        <v>1847</v>
      </c>
      <c r="C24" s="1016">
        <f>C25+C59+C69</f>
        <v>-4087184.2200000016</v>
      </c>
      <c r="D24" s="1031"/>
      <c r="E24" s="1029"/>
      <c r="F24" s="1029"/>
      <c r="G24" s="1031"/>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1029"/>
      <c r="BA24" s="1029"/>
      <c r="BB24" s="1029"/>
      <c r="BC24" s="1029"/>
      <c r="BD24" s="1029"/>
      <c r="BE24" s="1029"/>
      <c r="BF24" s="1029"/>
      <c r="BG24" s="1029"/>
      <c r="BH24" s="1029"/>
      <c r="BI24" s="1029"/>
      <c r="BJ24" s="1029"/>
      <c r="BK24" s="1029"/>
      <c r="BL24" s="1029"/>
      <c r="BM24" s="1029"/>
      <c r="BN24" s="1029"/>
      <c r="BO24" s="1029"/>
      <c r="BP24" s="1029"/>
      <c r="BQ24" s="1029"/>
      <c r="BR24" s="1029"/>
      <c r="BS24" s="1029"/>
      <c r="BT24" s="1029"/>
      <c r="BU24" s="1029"/>
      <c r="BV24" s="1029"/>
    </row>
    <row r="25" spans="1:74" s="1030" customFormat="1" ht="30">
      <c r="A25" s="1012">
        <v>15</v>
      </c>
      <c r="B25" s="1032" t="s">
        <v>1848</v>
      </c>
      <c r="C25" s="1033">
        <f>C26+C30+C50+C37+C39+C41+C43+C46+C54+C56</f>
        <v>-5098184.220000001</v>
      </c>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29"/>
      <c r="AO25" s="1029"/>
      <c r="AP25" s="1029"/>
      <c r="AQ25" s="1029"/>
      <c r="AR25" s="1029"/>
      <c r="AS25" s="1029"/>
      <c r="AT25" s="1029"/>
      <c r="AU25" s="1029"/>
      <c r="AV25" s="1029"/>
      <c r="AW25" s="1029"/>
      <c r="AX25" s="1029"/>
      <c r="AY25" s="1029"/>
      <c r="AZ25" s="1029"/>
      <c r="BA25" s="1029"/>
      <c r="BB25" s="1029"/>
      <c r="BC25" s="1029"/>
      <c r="BD25" s="1029"/>
      <c r="BE25" s="1029"/>
      <c r="BF25" s="1029"/>
      <c r="BG25" s="1029"/>
      <c r="BH25" s="1029"/>
      <c r="BI25" s="1029"/>
      <c r="BJ25" s="1029"/>
      <c r="BK25" s="1029"/>
      <c r="BL25" s="1029"/>
      <c r="BM25" s="1029"/>
      <c r="BN25" s="1029"/>
      <c r="BO25" s="1029"/>
      <c r="BP25" s="1029"/>
      <c r="BQ25" s="1029"/>
      <c r="BR25" s="1029"/>
      <c r="BS25" s="1029"/>
      <c r="BT25" s="1029"/>
      <c r="BU25" s="1029"/>
      <c r="BV25" s="1029"/>
    </row>
    <row r="26" spans="1:74" s="1030" customFormat="1" ht="30">
      <c r="A26" s="1012">
        <v>16</v>
      </c>
      <c r="B26" s="1034" t="s">
        <v>1849</v>
      </c>
      <c r="C26" s="1035">
        <f>SUM(C27:C29)</f>
        <v>-2081347</v>
      </c>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c r="AT26" s="1029"/>
      <c r="AU26" s="1029"/>
      <c r="AV26" s="1029"/>
      <c r="AW26" s="1029"/>
      <c r="AX26" s="1029"/>
      <c r="AY26" s="1029"/>
      <c r="AZ26" s="1029"/>
      <c r="BA26" s="1029"/>
      <c r="BB26" s="1029"/>
      <c r="BC26" s="1029"/>
      <c r="BD26" s="1029"/>
      <c r="BE26" s="1029"/>
      <c r="BF26" s="1029"/>
      <c r="BG26" s="1029"/>
      <c r="BH26" s="1029"/>
      <c r="BI26" s="1029"/>
      <c r="BJ26" s="1029"/>
      <c r="BK26" s="1029"/>
      <c r="BL26" s="1029"/>
      <c r="BM26" s="1029"/>
      <c r="BN26" s="1029"/>
      <c r="BO26" s="1029"/>
      <c r="BP26" s="1029"/>
      <c r="BQ26" s="1029"/>
      <c r="BR26" s="1029"/>
      <c r="BS26" s="1029"/>
      <c r="BT26" s="1029"/>
      <c r="BU26" s="1029"/>
      <c r="BV26" s="1029"/>
    </row>
    <row r="27" spans="1:74" s="1030" customFormat="1" ht="60.75">
      <c r="A27" s="1012">
        <v>17</v>
      </c>
      <c r="B27" s="1036" t="s">
        <v>1850</v>
      </c>
      <c r="C27" s="1037">
        <v>108653</v>
      </c>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29"/>
      <c r="Z27" s="1029"/>
      <c r="AA27" s="1029"/>
      <c r="AB27" s="1029"/>
      <c r="AC27" s="1029"/>
      <c r="AD27" s="1029"/>
      <c r="AE27" s="1029"/>
      <c r="AF27" s="1029"/>
      <c r="AG27" s="1029"/>
      <c r="AH27" s="1029"/>
      <c r="AI27" s="1029"/>
      <c r="AJ27" s="1029"/>
      <c r="AK27" s="1029"/>
      <c r="AL27" s="1029"/>
      <c r="AM27" s="1029"/>
      <c r="AN27" s="1029"/>
      <c r="AO27" s="1029"/>
      <c r="AP27" s="1029"/>
      <c r="AQ27" s="1029"/>
      <c r="AR27" s="1029"/>
      <c r="AS27" s="1029"/>
      <c r="AT27" s="1029"/>
      <c r="AU27" s="1029"/>
      <c r="AV27" s="1029"/>
      <c r="AW27" s="1029"/>
      <c r="AX27" s="1029"/>
      <c r="AY27" s="1029"/>
      <c r="AZ27" s="1029"/>
      <c r="BA27" s="1029"/>
      <c r="BB27" s="1029"/>
      <c r="BC27" s="1029"/>
      <c r="BD27" s="1029"/>
      <c r="BE27" s="1029"/>
      <c r="BF27" s="1029"/>
      <c r="BG27" s="1029"/>
      <c r="BH27" s="1029"/>
      <c r="BI27" s="1029"/>
      <c r="BJ27" s="1029"/>
      <c r="BK27" s="1029"/>
      <c r="BL27" s="1029"/>
      <c r="BM27" s="1029"/>
      <c r="BN27" s="1029"/>
      <c r="BO27" s="1029"/>
      <c r="BP27" s="1029"/>
      <c r="BQ27" s="1029"/>
      <c r="BR27" s="1029"/>
      <c r="BS27" s="1029"/>
      <c r="BT27" s="1029"/>
      <c r="BU27" s="1029"/>
      <c r="BV27" s="1029"/>
    </row>
    <row r="28" spans="1:74" s="1030" customFormat="1" ht="30">
      <c r="A28" s="1012">
        <v>18</v>
      </c>
      <c r="B28" s="1036" t="s">
        <v>1851</v>
      </c>
      <c r="C28" s="1037">
        <f>-550000-500000</f>
        <v>-1050000</v>
      </c>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029"/>
      <c r="AE28" s="1029"/>
      <c r="AF28" s="1029"/>
      <c r="AG28" s="1029"/>
      <c r="AH28" s="1029"/>
      <c r="AI28" s="1029"/>
      <c r="AJ28" s="1029"/>
      <c r="AK28" s="1029"/>
      <c r="AL28" s="1029"/>
      <c r="AM28" s="1029"/>
      <c r="AN28" s="1029"/>
      <c r="AO28" s="1029"/>
      <c r="AP28" s="1029"/>
      <c r="AQ28" s="1029"/>
      <c r="AR28" s="1029"/>
      <c r="AS28" s="1029"/>
      <c r="AT28" s="1029"/>
      <c r="AU28" s="1029"/>
      <c r="AV28" s="1029"/>
      <c r="AW28" s="1029"/>
      <c r="AX28" s="1029"/>
      <c r="AY28" s="1029"/>
      <c r="AZ28" s="1029"/>
      <c r="BA28" s="1029"/>
      <c r="BB28" s="1029"/>
      <c r="BC28" s="1029"/>
      <c r="BD28" s="1029"/>
      <c r="BE28" s="1029"/>
      <c r="BF28" s="1029"/>
      <c r="BG28" s="1029"/>
      <c r="BH28" s="1029"/>
      <c r="BI28" s="1029"/>
      <c r="BJ28" s="1029"/>
      <c r="BK28" s="1029"/>
      <c r="BL28" s="1029"/>
      <c r="BM28" s="1029"/>
      <c r="BN28" s="1029"/>
      <c r="BO28" s="1029"/>
      <c r="BP28" s="1029"/>
      <c r="BQ28" s="1029"/>
      <c r="BR28" s="1029"/>
      <c r="BS28" s="1029"/>
      <c r="BT28" s="1029"/>
      <c r="BU28" s="1029"/>
      <c r="BV28" s="1029"/>
    </row>
    <row r="29" spans="1:74" s="1030" customFormat="1" ht="30">
      <c r="A29" s="1012">
        <v>19</v>
      </c>
      <c r="B29" s="1036" t="s">
        <v>1852</v>
      </c>
      <c r="C29" s="1037">
        <f>-70000-130000-40000-900000</f>
        <v>-1140000</v>
      </c>
      <c r="D29" s="1029"/>
      <c r="E29" s="1029"/>
      <c r="F29" s="1029"/>
      <c r="G29" s="1029"/>
      <c r="H29" s="1029"/>
      <c r="I29" s="1029"/>
      <c r="J29" s="1029"/>
      <c r="K29" s="1029"/>
      <c r="L29" s="1029"/>
      <c r="M29" s="1029"/>
      <c r="N29" s="1029"/>
      <c r="O29" s="1029"/>
      <c r="P29" s="1029"/>
      <c r="Q29" s="1029"/>
      <c r="R29" s="1029"/>
      <c r="S29" s="1029"/>
      <c r="T29" s="1029"/>
      <c r="U29" s="1029"/>
      <c r="V29" s="1029"/>
      <c r="W29" s="1029"/>
      <c r="X29" s="1029"/>
      <c r="Y29" s="1029"/>
      <c r="Z29" s="1029"/>
      <c r="AA29" s="1029"/>
      <c r="AB29" s="1029"/>
      <c r="AC29" s="1029"/>
      <c r="AD29" s="1029"/>
      <c r="AE29" s="1029"/>
      <c r="AF29" s="1029"/>
      <c r="AG29" s="1029"/>
      <c r="AH29" s="1029"/>
      <c r="AI29" s="1029"/>
      <c r="AJ29" s="1029"/>
      <c r="AK29" s="1029"/>
      <c r="AL29" s="1029"/>
      <c r="AM29" s="1029"/>
      <c r="AN29" s="1029"/>
      <c r="AO29" s="1029"/>
      <c r="AP29" s="1029"/>
      <c r="AQ29" s="1029"/>
      <c r="AR29" s="1029"/>
      <c r="AS29" s="1029"/>
      <c r="AT29" s="1029"/>
      <c r="AU29" s="1029"/>
      <c r="AV29" s="1029"/>
      <c r="AW29" s="1029"/>
      <c r="AX29" s="1029"/>
      <c r="AY29" s="1029"/>
      <c r="AZ29" s="1029"/>
      <c r="BA29" s="1029"/>
      <c r="BB29" s="1029"/>
      <c r="BC29" s="1029"/>
      <c r="BD29" s="1029"/>
      <c r="BE29" s="1029"/>
      <c r="BF29" s="1029"/>
      <c r="BG29" s="1029"/>
      <c r="BH29" s="1029"/>
      <c r="BI29" s="1029"/>
      <c r="BJ29" s="1029"/>
      <c r="BK29" s="1029"/>
      <c r="BL29" s="1029"/>
      <c r="BM29" s="1029"/>
      <c r="BN29" s="1029"/>
      <c r="BO29" s="1029"/>
      <c r="BP29" s="1029"/>
      <c r="BQ29" s="1029"/>
      <c r="BR29" s="1029"/>
      <c r="BS29" s="1029"/>
      <c r="BT29" s="1029"/>
      <c r="BU29" s="1029"/>
      <c r="BV29" s="1029"/>
    </row>
    <row r="30" spans="1:74" s="1030" customFormat="1" ht="60.75">
      <c r="A30" s="1012">
        <v>20</v>
      </c>
      <c r="B30" s="1034" t="s">
        <v>1853</v>
      </c>
      <c r="C30" s="1035">
        <f>SUM(C31:C36)</f>
        <v>2737262.7799999993</v>
      </c>
      <c r="D30" s="1029"/>
      <c r="E30" s="1029"/>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29"/>
      <c r="AR30" s="1029"/>
      <c r="AS30" s="1029"/>
      <c r="AT30" s="1029"/>
      <c r="AU30" s="1029"/>
      <c r="AV30" s="1029"/>
      <c r="AW30" s="1029"/>
      <c r="AX30" s="1029"/>
      <c r="AY30" s="1029"/>
      <c r="AZ30" s="1029"/>
      <c r="BA30" s="1029"/>
      <c r="BB30" s="1029"/>
      <c r="BC30" s="1029"/>
      <c r="BD30" s="1029"/>
      <c r="BE30" s="1029"/>
      <c r="BF30" s="1029"/>
      <c r="BG30" s="1029"/>
      <c r="BH30" s="1029"/>
      <c r="BI30" s="1029"/>
      <c r="BJ30" s="1029"/>
      <c r="BK30" s="1029"/>
      <c r="BL30" s="1029"/>
      <c r="BM30" s="1029"/>
      <c r="BN30" s="1029"/>
      <c r="BO30" s="1029"/>
      <c r="BP30" s="1029"/>
      <c r="BQ30" s="1029"/>
      <c r="BR30" s="1029"/>
      <c r="BS30" s="1029"/>
      <c r="BT30" s="1029"/>
      <c r="BU30" s="1029"/>
      <c r="BV30" s="1029"/>
    </row>
    <row r="31" spans="1:74" s="1030" customFormat="1" ht="60.75">
      <c r="A31" s="1012">
        <v>21</v>
      </c>
      <c r="B31" s="1036" t="s">
        <v>1850</v>
      </c>
      <c r="C31" s="1037">
        <v>307819</v>
      </c>
      <c r="D31" s="1029"/>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1029"/>
      <c r="AY31" s="1029"/>
      <c r="AZ31" s="1029"/>
      <c r="BA31" s="1029"/>
      <c r="BB31" s="1029"/>
      <c r="BC31" s="1029"/>
      <c r="BD31" s="1029"/>
      <c r="BE31" s="1029"/>
      <c r="BF31" s="1029"/>
      <c r="BG31" s="1029"/>
      <c r="BH31" s="1029"/>
      <c r="BI31" s="1029"/>
      <c r="BJ31" s="1029"/>
      <c r="BK31" s="1029"/>
      <c r="BL31" s="1029"/>
      <c r="BM31" s="1029"/>
      <c r="BN31" s="1029"/>
      <c r="BO31" s="1029"/>
      <c r="BP31" s="1029"/>
      <c r="BQ31" s="1029"/>
      <c r="BR31" s="1029"/>
      <c r="BS31" s="1029"/>
      <c r="BT31" s="1029"/>
      <c r="BU31" s="1029"/>
      <c r="BV31" s="1029"/>
    </row>
    <row r="32" spans="1:74" s="1030" customFormat="1" ht="122.25">
      <c r="A32" s="1012">
        <v>22</v>
      </c>
      <c r="B32" s="1036" t="s">
        <v>1854</v>
      </c>
      <c r="C32" s="1037">
        <f>4033770+618862</f>
        <v>4652632</v>
      </c>
      <c r="D32" s="1029"/>
      <c r="E32" s="1029"/>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29"/>
      <c r="AB32" s="1029"/>
      <c r="AC32" s="1029"/>
      <c r="AD32" s="1029"/>
      <c r="AE32" s="1029"/>
      <c r="AF32" s="1029"/>
      <c r="AG32" s="1029"/>
      <c r="AH32" s="1029"/>
      <c r="AI32" s="1029"/>
      <c r="AJ32" s="1029"/>
      <c r="AK32" s="1029"/>
      <c r="AL32" s="1029"/>
      <c r="AM32" s="1029"/>
      <c r="AN32" s="1029"/>
      <c r="AO32" s="1029"/>
      <c r="AP32" s="1029"/>
      <c r="AQ32" s="1029"/>
      <c r="AR32" s="1029"/>
      <c r="AS32" s="1029"/>
      <c r="AT32" s="1029"/>
      <c r="AU32" s="1029"/>
      <c r="AV32" s="1029"/>
      <c r="AW32" s="1029"/>
      <c r="AX32" s="1029"/>
      <c r="AY32" s="1029"/>
      <c r="AZ32" s="1029"/>
      <c r="BA32" s="1029"/>
      <c r="BB32" s="1029"/>
      <c r="BC32" s="1029"/>
      <c r="BD32" s="1029"/>
      <c r="BE32" s="1029"/>
      <c r="BF32" s="1029"/>
      <c r="BG32" s="1029"/>
      <c r="BH32" s="1029"/>
      <c r="BI32" s="1029"/>
      <c r="BJ32" s="1029"/>
      <c r="BK32" s="1029"/>
      <c r="BL32" s="1029"/>
      <c r="BM32" s="1029"/>
      <c r="BN32" s="1029"/>
      <c r="BO32" s="1029"/>
      <c r="BP32" s="1029"/>
      <c r="BQ32" s="1029"/>
      <c r="BR32" s="1029"/>
      <c r="BS32" s="1029"/>
      <c r="BT32" s="1029"/>
      <c r="BU32" s="1029"/>
      <c r="BV32" s="1029"/>
    </row>
    <row r="33" spans="1:74" s="1030" customFormat="1" ht="213.75">
      <c r="A33" s="1012">
        <v>23</v>
      </c>
      <c r="B33" s="1036" t="s">
        <v>1855</v>
      </c>
      <c r="C33" s="1037">
        <v>50000</v>
      </c>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29"/>
      <c r="AI33" s="1029"/>
      <c r="AJ33" s="1029"/>
      <c r="AK33" s="1029"/>
      <c r="AL33" s="1029"/>
      <c r="AM33" s="1029"/>
      <c r="AN33" s="1029"/>
      <c r="AO33" s="1029"/>
      <c r="AP33" s="1029"/>
      <c r="AQ33" s="1029"/>
      <c r="AR33" s="1029"/>
      <c r="AS33" s="1029"/>
      <c r="AT33" s="1029"/>
      <c r="AU33" s="1029"/>
      <c r="AV33" s="1029"/>
      <c r="AW33" s="1029"/>
      <c r="AX33" s="1029"/>
      <c r="AY33" s="1029"/>
      <c r="AZ33" s="1029"/>
      <c r="BA33" s="1029"/>
      <c r="BB33" s="1029"/>
      <c r="BC33" s="1029"/>
      <c r="BD33" s="1029"/>
      <c r="BE33" s="1029"/>
      <c r="BF33" s="1029"/>
      <c r="BG33" s="1029"/>
      <c r="BH33" s="1029"/>
      <c r="BI33" s="1029"/>
      <c r="BJ33" s="1029"/>
      <c r="BK33" s="1029"/>
      <c r="BL33" s="1029"/>
      <c r="BM33" s="1029"/>
      <c r="BN33" s="1029"/>
      <c r="BO33" s="1029"/>
      <c r="BP33" s="1029"/>
      <c r="BQ33" s="1029"/>
      <c r="BR33" s="1029"/>
      <c r="BS33" s="1029"/>
      <c r="BT33" s="1029"/>
      <c r="BU33" s="1029"/>
      <c r="BV33" s="1029"/>
    </row>
    <row r="34" spans="1:74" s="1030" customFormat="1" ht="122.25">
      <c r="A34" s="1012">
        <v>24</v>
      </c>
      <c r="B34" s="1036" t="s">
        <v>1856</v>
      </c>
      <c r="C34" s="1037">
        <f>1993985.14</f>
        <v>1993985.14</v>
      </c>
      <c r="D34" s="1029"/>
      <c r="E34" s="1029"/>
      <c r="F34" s="1029"/>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29"/>
      <c r="AR34" s="1029"/>
      <c r="AS34" s="1029"/>
      <c r="AT34" s="1029"/>
      <c r="AU34" s="1029"/>
      <c r="AV34" s="1029"/>
      <c r="AW34" s="1029"/>
      <c r="AX34" s="1029"/>
      <c r="AY34" s="1029"/>
      <c r="AZ34" s="1029"/>
      <c r="BA34" s="1029"/>
      <c r="BB34" s="1029"/>
      <c r="BC34" s="1029"/>
      <c r="BD34" s="1029"/>
      <c r="BE34" s="1029"/>
      <c r="BF34" s="1029"/>
      <c r="BG34" s="1029"/>
      <c r="BH34" s="1029"/>
      <c r="BI34" s="1029"/>
      <c r="BJ34" s="1029"/>
      <c r="BK34" s="1029"/>
      <c r="BL34" s="1029"/>
      <c r="BM34" s="1029"/>
      <c r="BN34" s="1029"/>
      <c r="BO34" s="1029"/>
      <c r="BP34" s="1029"/>
      <c r="BQ34" s="1029"/>
      <c r="BR34" s="1029"/>
      <c r="BS34" s="1029"/>
      <c r="BT34" s="1029"/>
      <c r="BU34" s="1029"/>
      <c r="BV34" s="1029"/>
    </row>
    <row r="35" spans="1:74" s="1030" customFormat="1" ht="91.5">
      <c r="A35" s="1012">
        <v>25</v>
      </c>
      <c r="B35" s="1036" t="s">
        <v>1857</v>
      </c>
      <c r="C35" s="1037">
        <f>-1139400-1645561.36</f>
        <v>-2784961.3600000003</v>
      </c>
      <c r="D35" s="1029"/>
      <c r="E35" s="1029"/>
      <c r="F35" s="1029"/>
      <c r="G35" s="1029"/>
      <c r="H35" s="1029"/>
      <c r="I35" s="1029"/>
      <c r="J35" s="1029"/>
      <c r="K35" s="1029"/>
      <c r="L35" s="1029"/>
      <c r="M35" s="1029"/>
      <c r="N35" s="1029"/>
      <c r="O35" s="1029"/>
      <c r="P35" s="1029"/>
      <c r="Q35" s="1029"/>
      <c r="R35" s="1029"/>
      <c r="S35" s="1029"/>
      <c r="T35" s="1029"/>
      <c r="U35" s="1029"/>
      <c r="V35" s="1029"/>
      <c r="W35" s="1029"/>
      <c r="X35" s="1029"/>
      <c r="Y35" s="1029"/>
      <c r="Z35" s="1029"/>
      <c r="AA35" s="1029"/>
      <c r="AB35" s="1029"/>
      <c r="AC35" s="1029"/>
      <c r="AD35" s="1029"/>
      <c r="AE35" s="1029"/>
      <c r="AF35" s="1029"/>
      <c r="AG35" s="1029"/>
      <c r="AH35" s="1029"/>
      <c r="AI35" s="1029"/>
      <c r="AJ35" s="1029"/>
      <c r="AK35" s="1029"/>
      <c r="AL35" s="1029"/>
      <c r="AM35" s="1029"/>
      <c r="AN35" s="1029"/>
      <c r="AO35" s="1029"/>
      <c r="AP35" s="1029"/>
      <c r="AQ35" s="1029"/>
      <c r="AR35" s="1029"/>
      <c r="AS35" s="1029"/>
      <c r="AT35" s="1029"/>
      <c r="AU35" s="1029"/>
      <c r="AV35" s="1029"/>
      <c r="AW35" s="1029"/>
      <c r="AX35" s="1029"/>
      <c r="AY35" s="1029"/>
      <c r="AZ35" s="1029"/>
      <c r="BA35" s="1029"/>
      <c r="BB35" s="1029"/>
      <c r="BC35" s="1029"/>
      <c r="BD35" s="1029"/>
      <c r="BE35" s="1029"/>
      <c r="BF35" s="1029"/>
      <c r="BG35" s="1029"/>
      <c r="BH35" s="1029"/>
      <c r="BI35" s="1029"/>
      <c r="BJ35" s="1029"/>
      <c r="BK35" s="1029"/>
      <c r="BL35" s="1029"/>
      <c r="BM35" s="1029"/>
      <c r="BN35" s="1029"/>
      <c r="BO35" s="1029"/>
      <c r="BP35" s="1029"/>
      <c r="BQ35" s="1029"/>
      <c r="BR35" s="1029"/>
      <c r="BS35" s="1029"/>
      <c r="BT35" s="1029"/>
      <c r="BU35" s="1029"/>
      <c r="BV35" s="1029"/>
    </row>
    <row r="36" spans="1:74" s="1030" customFormat="1" ht="30">
      <c r="A36" s="1012">
        <v>26</v>
      </c>
      <c r="B36" s="1036" t="s">
        <v>1858</v>
      </c>
      <c r="C36" s="1037">
        <f>-1146312-335900</f>
        <v>-1482212</v>
      </c>
      <c r="D36" s="1029"/>
      <c r="E36" s="1029"/>
      <c r="F36" s="1029"/>
      <c r="G36" s="1029"/>
      <c r="H36" s="1029"/>
      <c r="I36" s="1029"/>
      <c r="J36" s="1029"/>
      <c r="K36" s="1029"/>
      <c r="L36" s="1029"/>
      <c r="M36" s="1029"/>
      <c r="N36" s="1029"/>
      <c r="O36" s="1029"/>
      <c r="P36" s="1029"/>
      <c r="Q36" s="1029"/>
      <c r="R36" s="1029"/>
      <c r="S36" s="1029"/>
      <c r="T36" s="1029"/>
      <c r="U36" s="1029"/>
      <c r="V36" s="1029"/>
      <c r="W36" s="1029"/>
      <c r="X36" s="1029"/>
      <c r="Y36" s="1029"/>
      <c r="Z36" s="1029"/>
      <c r="AA36" s="1029"/>
      <c r="AB36" s="1029"/>
      <c r="AC36" s="1029"/>
      <c r="AD36" s="1029"/>
      <c r="AE36" s="1029"/>
      <c r="AF36" s="1029"/>
      <c r="AG36" s="1029"/>
      <c r="AH36" s="1029"/>
      <c r="AI36" s="1029"/>
      <c r="AJ36" s="1029"/>
      <c r="AK36" s="1029"/>
      <c r="AL36" s="1029"/>
      <c r="AM36" s="1029"/>
      <c r="AN36" s="1029"/>
      <c r="AO36" s="1029"/>
      <c r="AP36" s="1029"/>
      <c r="AQ36" s="1029"/>
      <c r="AR36" s="1029"/>
      <c r="AS36" s="1029"/>
      <c r="AT36" s="1029"/>
      <c r="AU36" s="1029"/>
      <c r="AV36" s="1029"/>
      <c r="AW36" s="1029"/>
      <c r="AX36" s="1029"/>
      <c r="AY36" s="1029"/>
      <c r="AZ36" s="1029"/>
      <c r="BA36" s="1029"/>
      <c r="BB36" s="1029"/>
      <c r="BC36" s="1029"/>
      <c r="BD36" s="1029"/>
      <c r="BE36" s="1029"/>
      <c r="BF36" s="1029"/>
      <c r="BG36" s="1029"/>
      <c r="BH36" s="1029"/>
      <c r="BI36" s="1029"/>
      <c r="BJ36" s="1029"/>
      <c r="BK36" s="1029"/>
      <c r="BL36" s="1029"/>
      <c r="BM36" s="1029"/>
      <c r="BN36" s="1029"/>
      <c r="BO36" s="1029"/>
      <c r="BP36" s="1029"/>
      <c r="BQ36" s="1029"/>
      <c r="BR36" s="1029"/>
      <c r="BS36" s="1029"/>
      <c r="BT36" s="1029"/>
      <c r="BU36" s="1029"/>
      <c r="BV36" s="1029"/>
    </row>
    <row r="37" spans="1:74" s="1030" customFormat="1" ht="60.75">
      <c r="A37" s="1012">
        <v>27</v>
      </c>
      <c r="B37" s="1034" t="s">
        <v>1859</v>
      </c>
      <c r="C37" s="1035">
        <f>C38</f>
        <v>-281300</v>
      </c>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c r="AG37" s="1029"/>
      <c r="AH37" s="1029"/>
      <c r="AI37" s="1029"/>
      <c r="AJ37" s="1029"/>
      <c r="AK37" s="1029"/>
      <c r="AL37" s="1029"/>
      <c r="AM37" s="1029"/>
      <c r="AN37" s="1029"/>
      <c r="AO37" s="1029"/>
      <c r="AP37" s="1029"/>
      <c r="AQ37" s="1029"/>
      <c r="AR37" s="1029"/>
      <c r="AS37" s="1029"/>
      <c r="AT37" s="1029"/>
      <c r="AU37" s="1029"/>
      <c r="AV37" s="1029"/>
      <c r="AW37" s="1029"/>
      <c r="AX37" s="1029"/>
      <c r="AY37" s="1029"/>
      <c r="AZ37" s="1029"/>
      <c r="BA37" s="1029"/>
      <c r="BB37" s="1029"/>
      <c r="BC37" s="1029"/>
      <c r="BD37" s="1029"/>
      <c r="BE37" s="1029"/>
      <c r="BF37" s="1029"/>
      <c r="BG37" s="1029"/>
      <c r="BH37" s="1029"/>
      <c r="BI37" s="1029"/>
      <c r="BJ37" s="1029"/>
      <c r="BK37" s="1029"/>
      <c r="BL37" s="1029"/>
      <c r="BM37" s="1029"/>
      <c r="BN37" s="1029"/>
      <c r="BO37" s="1029"/>
      <c r="BP37" s="1029"/>
      <c r="BQ37" s="1029"/>
      <c r="BR37" s="1029"/>
      <c r="BS37" s="1029"/>
      <c r="BT37" s="1029"/>
      <c r="BU37" s="1029"/>
      <c r="BV37" s="1029"/>
    </row>
    <row r="38" spans="1:74" s="1030" customFormat="1" ht="30">
      <c r="A38" s="1012">
        <v>28</v>
      </c>
      <c r="B38" s="1036" t="s">
        <v>1852</v>
      </c>
      <c r="C38" s="1037">
        <f>-202000-79300</f>
        <v>-281300</v>
      </c>
      <c r="D38" s="1029"/>
      <c r="E38" s="1029"/>
      <c r="F38" s="1029"/>
      <c r="G38" s="1029"/>
      <c r="H38" s="1029"/>
      <c r="I38" s="1029"/>
      <c r="J38" s="1029"/>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1029"/>
      <c r="AG38" s="1029"/>
      <c r="AH38" s="1029"/>
      <c r="AI38" s="1029"/>
      <c r="AJ38" s="1029"/>
      <c r="AK38" s="1029"/>
      <c r="AL38" s="1029"/>
      <c r="AM38" s="1029"/>
      <c r="AN38" s="1029"/>
      <c r="AO38" s="1029"/>
      <c r="AP38" s="1029"/>
      <c r="AQ38" s="1029"/>
      <c r="AR38" s="1029"/>
      <c r="AS38" s="1029"/>
      <c r="AT38" s="1029"/>
      <c r="AU38" s="1029"/>
      <c r="AV38" s="1029"/>
      <c r="AW38" s="1029"/>
      <c r="AX38" s="1029"/>
      <c r="AY38" s="1029"/>
      <c r="AZ38" s="1029"/>
      <c r="BA38" s="1029"/>
      <c r="BB38" s="1029"/>
      <c r="BC38" s="1029"/>
      <c r="BD38" s="1029"/>
      <c r="BE38" s="1029"/>
      <c r="BF38" s="1029"/>
      <c r="BG38" s="1029"/>
      <c r="BH38" s="1029"/>
      <c r="BI38" s="1029"/>
      <c r="BJ38" s="1029"/>
      <c r="BK38" s="1029"/>
      <c r="BL38" s="1029"/>
      <c r="BM38" s="1029"/>
      <c r="BN38" s="1029"/>
      <c r="BO38" s="1029"/>
      <c r="BP38" s="1029"/>
      <c r="BQ38" s="1029"/>
      <c r="BR38" s="1029"/>
      <c r="BS38" s="1029"/>
      <c r="BT38" s="1029"/>
      <c r="BU38" s="1029"/>
      <c r="BV38" s="1029"/>
    </row>
    <row r="39" spans="1:74" s="1030" customFormat="1" ht="30">
      <c r="A39" s="1012">
        <v>29</v>
      </c>
      <c r="B39" s="1034" t="s">
        <v>1860</v>
      </c>
      <c r="C39" s="1035">
        <f>C40</f>
        <v>-149000</v>
      </c>
      <c r="D39" s="1029"/>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c r="AG39" s="1029"/>
      <c r="AH39" s="1029"/>
      <c r="AI39" s="1029"/>
      <c r="AJ39" s="1029"/>
      <c r="AK39" s="1029"/>
      <c r="AL39" s="1029"/>
      <c r="AM39" s="1029"/>
      <c r="AN39" s="1029"/>
      <c r="AO39" s="1029"/>
      <c r="AP39" s="1029"/>
      <c r="AQ39" s="1029"/>
      <c r="AR39" s="1029"/>
      <c r="AS39" s="1029"/>
      <c r="AT39" s="1029"/>
      <c r="AU39" s="1029"/>
      <c r="AV39" s="1029"/>
      <c r="AW39" s="1029"/>
      <c r="AX39" s="1029"/>
      <c r="AY39" s="1029"/>
      <c r="AZ39" s="1029"/>
      <c r="BA39" s="1029"/>
      <c r="BB39" s="1029"/>
      <c r="BC39" s="1029"/>
      <c r="BD39" s="1029"/>
      <c r="BE39" s="1029"/>
      <c r="BF39" s="1029"/>
      <c r="BG39" s="1029"/>
      <c r="BH39" s="1029"/>
      <c r="BI39" s="1029"/>
      <c r="BJ39" s="1029"/>
      <c r="BK39" s="1029"/>
      <c r="BL39" s="1029"/>
      <c r="BM39" s="1029"/>
      <c r="BN39" s="1029"/>
      <c r="BO39" s="1029"/>
      <c r="BP39" s="1029"/>
      <c r="BQ39" s="1029"/>
      <c r="BR39" s="1029"/>
      <c r="BS39" s="1029"/>
      <c r="BT39" s="1029"/>
      <c r="BU39" s="1029"/>
      <c r="BV39" s="1029"/>
    </row>
    <row r="40" spans="1:74" s="1030" customFormat="1" ht="30">
      <c r="A40" s="1012">
        <v>30</v>
      </c>
      <c r="B40" s="1036" t="s">
        <v>1852</v>
      </c>
      <c r="C40" s="1037">
        <f>-120000-29000</f>
        <v>-149000</v>
      </c>
      <c r="D40" s="1029"/>
      <c r="E40" s="1029"/>
      <c r="F40" s="1029"/>
      <c r="G40" s="1029"/>
      <c r="H40" s="1029"/>
      <c r="I40" s="1029"/>
      <c r="J40" s="1029"/>
      <c r="K40" s="1029"/>
      <c r="L40" s="1029"/>
      <c r="M40" s="1029"/>
      <c r="N40" s="1029"/>
      <c r="O40" s="1029"/>
      <c r="P40" s="1029"/>
      <c r="Q40" s="1029"/>
      <c r="R40" s="1029"/>
      <c r="S40" s="1029"/>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29"/>
      <c r="AR40" s="1029"/>
      <c r="AS40" s="1029"/>
      <c r="AT40" s="1029"/>
      <c r="AU40" s="1029"/>
      <c r="AV40" s="1029"/>
      <c r="AW40" s="1029"/>
      <c r="AX40" s="1029"/>
      <c r="AY40" s="1029"/>
      <c r="AZ40" s="1029"/>
      <c r="BA40" s="1029"/>
      <c r="BB40" s="1029"/>
      <c r="BC40" s="1029"/>
      <c r="BD40" s="1029"/>
      <c r="BE40" s="1029"/>
      <c r="BF40" s="1029"/>
      <c r="BG40" s="1029"/>
      <c r="BH40" s="1029"/>
      <c r="BI40" s="1029"/>
      <c r="BJ40" s="1029"/>
      <c r="BK40" s="1029"/>
      <c r="BL40" s="1029"/>
      <c r="BM40" s="1029"/>
      <c r="BN40" s="1029"/>
      <c r="BO40" s="1029"/>
      <c r="BP40" s="1029"/>
      <c r="BQ40" s="1029"/>
      <c r="BR40" s="1029"/>
      <c r="BS40" s="1029"/>
      <c r="BT40" s="1029"/>
      <c r="BU40" s="1029"/>
      <c r="BV40" s="1029"/>
    </row>
    <row r="41" spans="1:74" s="1030" customFormat="1" ht="60.75">
      <c r="A41" s="1012">
        <v>31</v>
      </c>
      <c r="B41" s="1034" t="s">
        <v>1861</v>
      </c>
      <c r="C41" s="1035">
        <f>C42</f>
        <v>-713800</v>
      </c>
      <c r="D41" s="1029"/>
      <c r="E41" s="1029"/>
      <c r="F41" s="1029"/>
      <c r="G41" s="1029"/>
      <c r="H41" s="1029"/>
      <c r="I41" s="1029"/>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29"/>
      <c r="AF41" s="1029"/>
      <c r="AG41" s="1029"/>
      <c r="AH41" s="1029"/>
      <c r="AI41" s="1029"/>
      <c r="AJ41" s="1029"/>
      <c r="AK41" s="1029"/>
      <c r="AL41" s="1029"/>
      <c r="AM41" s="1029"/>
      <c r="AN41" s="1029"/>
      <c r="AO41" s="1029"/>
      <c r="AP41" s="1029"/>
      <c r="AQ41" s="1029"/>
      <c r="AR41" s="1029"/>
      <c r="AS41" s="1029"/>
      <c r="AT41" s="1029"/>
      <c r="AU41" s="1029"/>
      <c r="AV41" s="1029"/>
      <c r="AW41" s="1029"/>
      <c r="AX41" s="1029"/>
      <c r="AY41" s="1029"/>
      <c r="AZ41" s="1029"/>
      <c r="BA41" s="1029"/>
      <c r="BB41" s="1029"/>
      <c r="BC41" s="1029"/>
      <c r="BD41" s="1029"/>
      <c r="BE41" s="1029"/>
      <c r="BF41" s="1029"/>
      <c r="BG41" s="1029"/>
      <c r="BH41" s="1029"/>
      <c r="BI41" s="1029"/>
      <c r="BJ41" s="1029"/>
      <c r="BK41" s="1029"/>
      <c r="BL41" s="1029"/>
      <c r="BM41" s="1029"/>
      <c r="BN41" s="1029"/>
      <c r="BO41" s="1029"/>
      <c r="BP41" s="1029"/>
      <c r="BQ41" s="1029"/>
      <c r="BR41" s="1029"/>
      <c r="BS41" s="1029"/>
      <c r="BT41" s="1029"/>
      <c r="BU41" s="1029"/>
      <c r="BV41" s="1029"/>
    </row>
    <row r="42" spans="1:74" s="1030" customFormat="1" ht="30">
      <c r="A42" s="1012">
        <v>32</v>
      </c>
      <c r="B42" s="1036" t="s">
        <v>1852</v>
      </c>
      <c r="C42" s="1037">
        <f>-113800-600000</f>
        <v>-713800</v>
      </c>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c r="AG42" s="1029"/>
      <c r="AH42" s="1029"/>
      <c r="AI42" s="1029"/>
      <c r="AJ42" s="1029"/>
      <c r="AK42" s="1029"/>
      <c r="AL42" s="1029"/>
      <c r="AM42" s="1029"/>
      <c r="AN42" s="1029"/>
      <c r="AO42" s="1029"/>
      <c r="AP42" s="1029"/>
      <c r="AQ42" s="1029"/>
      <c r="AR42" s="1029"/>
      <c r="AS42" s="1029"/>
      <c r="AT42" s="1029"/>
      <c r="AU42" s="1029"/>
      <c r="AV42" s="1029"/>
      <c r="AW42" s="1029"/>
      <c r="AX42" s="1029"/>
      <c r="AY42" s="1029"/>
      <c r="AZ42" s="1029"/>
      <c r="BA42" s="1029"/>
      <c r="BB42" s="1029"/>
      <c r="BC42" s="1029"/>
      <c r="BD42" s="1029"/>
      <c r="BE42" s="1029"/>
      <c r="BF42" s="1029"/>
      <c r="BG42" s="1029"/>
      <c r="BH42" s="1029"/>
      <c r="BI42" s="1029"/>
      <c r="BJ42" s="1029"/>
      <c r="BK42" s="1029"/>
      <c r="BL42" s="1029"/>
      <c r="BM42" s="1029"/>
      <c r="BN42" s="1029"/>
      <c r="BO42" s="1029"/>
      <c r="BP42" s="1029"/>
      <c r="BQ42" s="1029"/>
      <c r="BR42" s="1029"/>
      <c r="BS42" s="1029"/>
      <c r="BT42" s="1029"/>
      <c r="BU42" s="1029"/>
      <c r="BV42" s="1029"/>
    </row>
    <row r="43" spans="1:74" s="1030" customFormat="1" ht="60.75">
      <c r="A43" s="1012">
        <v>33</v>
      </c>
      <c r="B43" s="1034" t="s">
        <v>1862</v>
      </c>
      <c r="C43" s="1035">
        <f>SUM(C44:C45)</f>
        <v>-600000</v>
      </c>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29"/>
      <c r="AY43" s="1029"/>
      <c r="AZ43" s="1029"/>
      <c r="BA43" s="1029"/>
      <c r="BB43" s="1029"/>
      <c r="BC43" s="1029"/>
      <c r="BD43" s="1029"/>
      <c r="BE43" s="1029"/>
      <c r="BF43" s="1029"/>
      <c r="BG43" s="1029"/>
      <c r="BH43" s="1029"/>
      <c r="BI43" s="1029"/>
      <c r="BJ43" s="1029"/>
      <c r="BK43" s="1029"/>
      <c r="BL43" s="1029"/>
      <c r="BM43" s="1029"/>
      <c r="BN43" s="1029"/>
      <c r="BO43" s="1029"/>
      <c r="BP43" s="1029"/>
      <c r="BQ43" s="1029"/>
      <c r="BR43" s="1029"/>
      <c r="BS43" s="1029"/>
      <c r="BT43" s="1029"/>
      <c r="BU43" s="1029"/>
      <c r="BV43" s="1029"/>
    </row>
    <row r="44" spans="1:74" s="1030" customFormat="1" ht="30">
      <c r="A44" s="1012">
        <v>34</v>
      </c>
      <c r="B44" s="1036" t="s">
        <v>1863</v>
      </c>
      <c r="C44" s="1037">
        <v>-121200</v>
      </c>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29"/>
      <c r="AR44" s="1029"/>
      <c r="AS44" s="1029"/>
      <c r="AT44" s="1029"/>
      <c r="AU44" s="1029"/>
      <c r="AV44" s="1029"/>
      <c r="AW44" s="1029"/>
      <c r="AX44" s="1029"/>
      <c r="AY44" s="1029"/>
      <c r="AZ44" s="1029"/>
      <c r="BA44" s="1029"/>
      <c r="BB44" s="1029"/>
      <c r="BC44" s="1029"/>
      <c r="BD44" s="1029"/>
      <c r="BE44" s="1029"/>
      <c r="BF44" s="1029"/>
      <c r="BG44" s="1029"/>
      <c r="BH44" s="1029"/>
      <c r="BI44" s="1029"/>
      <c r="BJ44" s="1029"/>
      <c r="BK44" s="1029"/>
      <c r="BL44" s="1029"/>
      <c r="BM44" s="1029"/>
      <c r="BN44" s="1029"/>
      <c r="BO44" s="1029"/>
      <c r="BP44" s="1029"/>
      <c r="BQ44" s="1029"/>
      <c r="BR44" s="1029"/>
      <c r="BS44" s="1029"/>
      <c r="BT44" s="1029"/>
      <c r="BU44" s="1029"/>
      <c r="BV44" s="1029"/>
    </row>
    <row r="45" spans="1:74" s="1030" customFormat="1" ht="30">
      <c r="A45" s="1012">
        <v>35</v>
      </c>
      <c r="B45" s="1036" t="s">
        <v>1864</v>
      </c>
      <c r="C45" s="1037">
        <v>-478800</v>
      </c>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29"/>
      <c r="AE45" s="1029"/>
      <c r="AF45" s="1029"/>
      <c r="AG45" s="1029"/>
      <c r="AH45" s="1029"/>
      <c r="AI45" s="1029"/>
      <c r="AJ45" s="1029"/>
      <c r="AK45" s="1029"/>
      <c r="AL45" s="1029"/>
      <c r="AM45" s="1029"/>
      <c r="AN45" s="1029"/>
      <c r="AO45" s="1029"/>
      <c r="AP45" s="1029"/>
      <c r="AQ45" s="1029"/>
      <c r="AR45" s="1029"/>
      <c r="AS45" s="1029"/>
      <c r="AT45" s="1029"/>
      <c r="AU45" s="1029"/>
      <c r="AV45" s="1029"/>
      <c r="AW45" s="1029"/>
      <c r="AX45" s="1029"/>
      <c r="AY45" s="1029"/>
      <c r="AZ45" s="1029"/>
      <c r="BA45" s="1029"/>
      <c r="BB45" s="1029"/>
      <c r="BC45" s="1029"/>
      <c r="BD45" s="1029"/>
      <c r="BE45" s="1029"/>
      <c r="BF45" s="1029"/>
      <c r="BG45" s="1029"/>
      <c r="BH45" s="1029"/>
      <c r="BI45" s="1029"/>
      <c r="BJ45" s="1029"/>
      <c r="BK45" s="1029"/>
      <c r="BL45" s="1029"/>
      <c r="BM45" s="1029"/>
      <c r="BN45" s="1029"/>
      <c r="BO45" s="1029"/>
      <c r="BP45" s="1029"/>
      <c r="BQ45" s="1029"/>
      <c r="BR45" s="1029"/>
      <c r="BS45" s="1029"/>
      <c r="BT45" s="1029"/>
      <c r="BU45" s="1029"/>
      <c r="BV45" s="1029"/>
    </row>
    <row r="46" spans="1:74" s="1030" customFormat="1" ht="60.75">
      <c r="A46" s="1012">
        <v>36</v>
      </c>
      <c r="B46" s="1034" t="s">
        <v>1865</v>
      </c>
      <c r="C46" s="1035">
        <f>SUM(C47:C49)</f>
        <v>-1490000</v>
      </c>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29"/>
      <c r="BB46" s="1029"/>
      <c r="BC46" s="1029"/>
      <c r="BD46" s="1029"/>
      <c r="BE46" s="1029"/>
      <c r="BF46" s="1029"/>
      <c r="BG46" s="1029"/>
      <c r="BH46" s="1029"/>
      <c r="BI46" s="1029"/>
      <c r="BJ46" s="1029"/>
      <c r="BK46" s="1029"/>
      <c r="BL46" s="1029"/>
      <c r="BM46" s="1029"/>
      <c r="BN46" s="1029"/>
      <c r="BO46" s="1029"/>
      <c r="BP46" s="1029"/>
      <c r="BQ46" s="1029"/>
      <c r="BR46" s="1029"/>
      <c r="BS46" s="1029"/>
      <c r="BT46" s="1029"/>
      <c r="BU46" s="1029"/>
      <c r="BV46" s="1029"/>
    </row>
    <row r="47" spans="1:74" s="1030" customFormat="1" ht="30">
      <c r="A47" s="1012">
        <v>37</v>
      </c>
      <c r="B47" s="1036" t="s">
        <v>1863</v>
      </c>
      <c r="C47" s="1037">
        <f>-135302-523134</f>
        <v>-658436</v>
      </c>
      <c r="D47" s="1029"/>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c r="AD47" s="1029"/>
      <c r="AE47" s="1029"/>
      <c r="AF47" s="1029"/>
      <c r="AG47" s="1029"/>
      <c r="AH47" s="1029"/>
      <c r="AI47" s="1029"/>
      <c r="AJ47" s="1029"/>
      <c r="AK47" s="1029"/>
      <c r="AL47" s="1029"/>
      <c r="AM47" s="1029"/>
      <c r="AN47" s="1029"/>
      <c r="AO47" s="1029"/>
      <c r="AP47" s="1029"/>
      <c r="AQ47" s="1029"/>
      <c r="AR47" s="1029"/>
      <c r="AS47" s="1029"/>
      <c r="AT47" s="1029"/>
      <c r="AU47" s="1029"/>
      <c r="AV47" s="1029"/>
      <c r="AW47" s="1029"/>
      <c r="AX47" s="1029"/>
      <c r="AY47" s="1029"/>
      <c r="AZ47" s="1029"/>
      <c r="BA47" s="1029"/>
      <c r="BB47" s="1029"/>
      <c r="BC47" s="1029"/>
      <c r="BD47" s="1029"/>
      <c r="BE47" s="1029"/>
      <c r="BF47" s="1029"/>
      <c r="BG47" s="1029"/>
      <c r="BH47" s="1029"/>
      <c r="BI47" s="1029"/>
      <c r="BJ47" s="1029"/>
      <c r="BK47" s="1029"/>
      <c r="BL47" s="1029"/>
      <c r="BM47" s="1029"/>
      <c r="BN47" s="1029"/>
      <c r="BO47" s="1029"/>
      <c r="BP47" s="1029"/>
      <c r="BQ47" s="1029"/>
      <c r="BR47" s="1029"/>
      <c r="BS47" s="1029"/>
      <c r="BT47" s="1029"/>
      <c r="BU47" s="1029"/>
      <c r="BV47" s="1029"/>
    </row>
    <row r="48" spans="1:74" s="1030" customFormat="1" ht="30">
      <c r="A48" s="1012">
        <v>38</v>
      </c>
      <c r="B48" s="1036" t="s">
        <v>1864</v>
      </c>
      <c r="C48" s="1037">
        <f>-97698-676866</f>
        <v>-774564</v>
      </c>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1029"/>
      <c r="AF48" s="1029"/>
      <c r="AG48" s="1029"/>
      <c r="AH48" s="1029"/>
      <c r="AI48" s="1029"/>
      <c r="AJ48" s="1029"/>
      <c r="AK48" s="1029"/>
      <c r="AL48" s="1029"/>
      <c r="AM48" s="1029"/>
      <c r="AN48" s="1029"/>
      <c r="AO48" s="1029"/>
      <c r="AP48" s="1029"/>
      <c r="AQ48" s="1029"/>
      <c r="AR48" s="1029"/>
      <c r="AS48" s="1029"/>
      <c r="AT48" s="1029"/>
      <c r="AU48" s="1029"/>
      <c r="AV48" s="1029"/>
      <c r="AW48" s="1029"/>
      <c r="AX48" s="1029"/>
      <c r="AY48" s="1029"/>
      <c r="AZ48" s="1029"/>
      <c r="BA48" s="1029"/>
      <c r="BB48" s="1029"/>
      <c r="BC48" s="1029"/>
      <c r="BD48" s="1029"/>
      <c r="BE48" s="1029"/>
      <c r="BF48" s="1029"/>
      <c r="BG48" s="1029"/>
      <c r="BH48" s="1029"/>
      <c r="BI48" s="1029"/>
      <c r="BJ48" s="1029"/>
      <c r="BK48" s="1029"/>
      <c r="BL48" s="1029"/>
      <c r="BM48" s="1029"/>
      <c r="BN48" s="1029"/>
      <c r="BO48" s="1029"/>
      <c r="BP48" s="1029"/>
      <c r="BQ48" s="1029"/>
      <c r="BR48" s="1029"/>
      <c r="BS48" s="1029"/>
      <c r="BT48" s="1029"/>
      <c r="BU48" s="1029"/>
      <c r="BV48" s="1029"/>
    </row>
    <row r="49" spans="1:74" s="1030" customFormat="1" ht="30">
      <c r="A49" s="1012">
        <v>39</v>
      </c>
      <c r="B49" s="1036" t="s">
        <v>1866</v>
      </c>
      <c r="C49" s="1037">
        <v>-57000</v>
      </c>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1029"/>
      <c r="AF49" s="1029"/>
      <c r="AG49" s="1029"/>
      <c r="AH49" s="1029"/>
      <c r="AI49" s="1029"/>
      <c r="AJ49" s="1029"/>
      <c r="AK49" s="1029"/>
      <c r="AL49" s="1029"/>
      <c r="AM49" s="1029"/>
      <c r="AN49" s="1029"/>
      <c r="AO49" s="1029"/>
      <c r="AP49" s="1029"/>
      <c r="AQ49" s="1029"/>
      <c r="AR49" s="1029"/>
      <c r="AS49" s="1029"/>
      <c r="AT49" s="1029"/>
      <c r="AU49" s="1029"/>
      <c r="AV49" s="1029"/>
      <c r="AW49" s="1029"/>
      <c r="AX49" s="1029"/>
      <c r="AY49" s="1029"/>
      <c r="AZ49" s="1029"/>
      <c r="BA49" s="1029"/>
      <c r="BB49" s="1029"/>
      <c r="BC49" s="1029"/>
      <c r="BD49" s="1029"/>
      <c r="BE49" s="1029"/>
      <c r="BF49" s="1029"/>
      <c r="BG49" s="1029"/>
      <c r="BH49" s="1029"/>
      <c r="BI49" s="1029"/>
      <c r="BJ49" s="1029"/>
      <c r="BK49" s="1029"/>
      <c r="BL49" s="1029"/>
      <c r="BM49" s="1029"/>
      <c r="BN49" s="1029"/>
      <c r="BO49" s="1029"/>
      <c r="BP49" s="1029"/>
      <c r="BQ49" s="1029"/>
      <c r="BR49" s="1029"/>
      <c r="BS49" s="1029"/>
      <c r="BT49" s="1029"/>
      <c r="BU49" s="1029"/>
      <c r="BV49" s="1029"/>
    </row>
    <row r="50" spans="1:74" s="1030" customFormat="1" ht="60.75">
      <c r="A50" s="1012">
        <v>40</v>
      </c>
      <c r="B50" s="1034" t="s">
        <v>1867</v>
      </c>
      <c r="C50" s="1035">
        <f>SUM(C51:C53)</f>
        <v>-920000</v>
      </c>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c r="AD50" s="1029"/>
      <c r="AE50" s="1029"/>
      <c r="AF50" s="1029"/>
      <c r="AG50" s="1029"/>
      <c r="AH50" s="1029"/>
      <c r="AI50" s="1029"/>
      <c r="AJ50" s="1029"/>
      <c r="AK50" s="1029"/>
      <c r="AL50" s="1029"/>
      <c r="AM50" s="1029"/>
      <c r="AN50" s="1029"/>
      <c r="AO50" s="1029"/>
      <c r="AP50" s="1029"/>
      <c r="AQ50" s="1029"/>
      <c r="AR50" s="1029"/>
      <c r="AS50" s="1029"/>
      <c r="AT50" s="1029"/>
      <c r="AU50" s="1029"/>
      <c r="AV50" s="1029"/>
      <c r="AW50" s="1029"/>
      <c r="AX50" s="1029"/>
      <c r="AY50" s="1029"/>
      <c r="AZ50" s="1029"/>
      <c r="BA50" s="1029"/>
      <c r="BB50" s="1029"/>
      <c r="BC50" s="1029"/>
      <c r="BD50" s="1029"/>
      <c r="BE50" s="1029"/>
      <c r="BF50" s="1029"/>
      <c r="BG50" s="1029"/>
      <c r="BH50" s="1029"/>
      <c r="BI50" s="1029"/>
      <c r="BJ50" s="1029"/>
      <c r="BK50" s="1029"/>
      <c r="BL50" s="1029"/>
      <c r="BM50" s="1029"/>
      <c r="BN50" s="1029"/>
      <c r="BO50" s="1029"/>
      <c r="BP50" s="1029"/>
      <c r="BQ50" s="1029"/>
      <c r="BR50" s="1029"/>
      <c r="BS50" s="1029"/>
      <c r="BT50" s="1029"/>
      <c r="BU50" s="1029"/>
      <c r="BV50" s="1029"/>
    </row>
    <row r="51" spans="1:74" s="1030" customFormat="1" ht="60.75">
      <c r="A51" s="1012">
        <v>41</v>
      </c>
      <c r="B51" s="1036" t="s">
        <v>1868</v>
      </c>
      <c r="C51" s="1037">
        <f>-700000</f>
        <v>-700000</v>
      </c>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c r="AD51" s="1029"/>
      <c r="AE51" s="1029"/>
      <c r="AF51" s="1029"/>
      <c r="AG51" s="1029"/>
      <c r="AH51" s="1029"/>
      <c r="AI51" s="1029"/>
      <c r="AJ51" s="1029"/>
      <c r="AK51" s="1029"/>
      <c r="AL51" s="1029"/>
      <c r="AM51" s="1029"/>
      <c r="AN51" s="1029"/>
      <c r="AO51" s="1029"/>
      <c r="AP51" s="1029"/>
      <c r="AQ51" s="1029"/>
      <c r="AR51" s="1029"/>
      <c r="AS51" s="1029"/>
      <c r="AT51" s="1029"/>
      <c r="AU51" s="1029"/>
      <c r="AV51" s="1029"/>
      <c r="AW51" s="1029"/>
      <c r="AX51" s="1029"/>
      <c r="AY51" s="1029"/>
      <c r="AZ51" s="1029"/>
      <c r="BA51" s="1029"/>
      <c r="BB51" s="1029"/>
      <c r="BC51" s="1029"/>
      <c r="BD51" s="1029"/>
      <c r="BE51" s="1029"/>
      <c r="BF51" s="1029"/>
      <c r="BG51" s="1029"/>
      <c r="BH51" s="1029"/>
      <c r="BI51" s="1029"/>
      <c r="BJ51" s="1029"/>
      <c r="BK51" s="1029"/>
      <c r="BL51" s="1029"/>
      <c r="BM51" s="1029"/>
      <c r="BN51" s="1029"/>
      <c r="BO51" s="1029"/>
      <c r="BP51" s="1029"/>
      <c r="BQ51" s="1029"/>
      <c r="BR51" s="1029"/>
      <c r="BS51" s="1029"/>
      <c r="BT51" s="1029"/>
      <c r="BU51" s="1029"/>
      <c r="BV51" s="1029"/>
    </row>
    <row r="52" spans="1:74" s="1030" customFormat="1" ht="60.75">
      <c r="A52" s="1012">
        <v>42</v>
      </c>
      <c r="B52" s="1036" t="s">
        <v>1869</v>
      </c>
      <c r="C52" s="1037">
        <v>-300000</v>
      </c>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1029"/>
      <c r="AY52" s="1029"/>
      <c r="AZ52" s="1029"/>
      <c r="BA52" s="1029"/>
      <c r="BB52" s="1029"/>
      <c r="BC52" s="1029"/>
      <c r="BD52" s="1029"/>
      <c r="BE52" s="1029"/>
      <c r="BF52" s="1029"/>
      <c r="BG52" s="1029"/>
      <c r="BH52" s="1029"/>
      <c r="BI52" s="1029"/>
      <c r="BJ52" s="1029"/>
      <c r="BK52" s="1029"/>
      <c r="BL52" s="1029"/>
      <c r="BM52" s="1029"/>
      <c r="BN52" s="1029"/>
      <c r="BO52" s="1029"/>
      <c r="BP52" s="1029"/>
      <c r="BQ52" s="1029"/>
      <c r="BR52" s="1029"/>
      <c r="BS52" s="1029"/>
      <c r="BT52" s="1029"/>
      <c r="BU52" s="1029"/>
      <c r="BV52" s="1029"/>
    </row>
    <row r="53" spans="1:74" s="1030" customFormat="1" ht="91.5">
      <c r="A53" s="1012">
        <v>43</v>
      </c>
      <c r="B53" s="1036" t="s">
        <v>1870</v>
      </c>
      <c r="C53" s="1037">
        <v>80000</v>
      </c>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1029"/>
      <c r="AB53" s="1029"/>
      <c r="AC53" s="1029"/>
      <c r="AD53" s="1029"/>
      <c r="AE53" s="1029"/>
      <c r="AF53" s="1029"/>
      <c r="AG53" s="1029"/>
      <c r="AH53" s="1029"/>
      <c r="AI53" s="1029"/>
      <c r="AJ53" s="1029"/>
      <c r="AK53" s="1029"/>
      <c r="AL53" s="1029"/>
      <c r="AM53" s="1029"/>
      <c r="AN53" s="1029"/>
      <c r="AO53" s="1029"/>
      <c r="AP53" s="1029"/>
      <c r="AQ53" s="1029"/>
      <c r="AR53" s="1029"/>
      <c r="AS53" s="1029"/>
      <c r="AT53" s="1029"/>
      <c r="AU53" s="1029"/>
      <c r="AV53" s="1029"/>
      <c r="AW53" s="1029"/>
      <c r="AX53" s="1029"/>
      <c r="AY53" s="1029"/>
      <c r="AZ53" s="1029"/>
      <c r="BA53" s="1029"/>
      <c r="BB53" s="1029"/>
      <c r="BC53" s="1029"/>
      <c r="BD53" s="1029"/>
      <c r="BE53" s="1029"/>
      <c r="BF53" s="1029"/>
      <c r="BG53" s="1029"/>
      <c r="BH53" s="1029"/>
      <c r="BI53" s="1029"/>
      <c r="BJ53" s="1029"/>
      <c r="BK53" s="1029"/>
      <c r="BL53" s="1029"/>
      <c r="BM53" s="1029"/>
      <c r="BN53" s="1029"/>
      <c r="BO53" s="1029"/>
      <c r="BP53" s="1029"/>
      <c r="BQ53" s="1029"/>
      <c r="BR53" s="1029"/>
      <c r="BS53" s="1029"/>
      <c r="BT53" s="1029"/>
      <c r="BU53" s="1029"/>
      <c r="BV53" s="1029"/>
    </row>
    <row r="54" spans="1:74" s="1030" customFormat="1" ht="60.75">
      <c r="A54" s="1012">
        <v>44</v>
      </c>
      <c r="B54" s="1034" t="s">
        <v>1871</v>
      </c>
      <c r="C54" s="1035">
        <f>C55</f>
        <v>-100000</v>
      </c>
      <c r="D54" s="1029"/>
      <c r="E54" s="1029"/>
      <c r="F54" s="1029"/>
      <c r="G54" s="1029"/>
      <c r="H54" s="1029"/>
      <c r="I54" s="1029"/>
      <c r="J54" s="1029"/>
      <c r="K54" s="1029"/>
      <c r="L54" s="1029"/>
      <c r="M54" s="1029"/>
      <c r="N54" s="1029"/>
      <c r="O54" s="1029"/>
      <c r="P54" s="1029"/>
      <c r="Q54" s="1029"/>
      <c r="R54" s="1029"/>
      <c r="S54" s="1029"/>
      <c r="T54" s="1029"/>
      <c r="U54" s="1029"/>
      <c r="V54" s="1029"/>
      <c r="W54" s="1029"/>
      <c r="X54" s="1029"/>
      <c r="Y54" s="1029"/>
      <c r="Z54" s="1029"/>
      <c r="AA54" s="1029"/>
      <c r="AB54" s="1029"/>
      <c r="AC54" s="1029"/>
      <c r="AD54" s="1029"/>
      <c r="AE54" s="1029"/>
      <c r="AF54" s="1029"/>
      <c r="AG54" s="1029"/>
      <c r="AH54" s="1029"/>
      <c r="AI54" s="1029"/>
      <c r="AJ54" s="1029"/>
      <c r="AK54" s="1029"/>
      <c r="AL54" s="1029"/>
      <c r="AM54" s="1029"/>
      <c r="AN54" s="1029"/>
      <c r="AO54" s="1029"/>
      <c r="AP54" s="1029"/>
      <c r="AQ54" s="1029"/>
      <c r="AR54" s="1029"/>
      <c r="AS54" s="1029"/>
      <c r="AT54" s="1029"/>
      <c r="AU54" s="1029"/>
      <c r="AV54" s="1029"/>
      <c r="AW54" s="1029"/>
      <c r="AX54" s="1029"/>
      <c r="AY54" s="1029"/>
      <c r="AZ54" s="1029"/>
      <c r="BA54" s="1029"/>
      <c r="BB54" s="1029"/>
      <c r="BC54" s="1029"/>
      <c r="BD54" s="1029"/>
      <c r="BE54" s="1029"/>
      <c r="BF54" s="1029"/>
      <c r="BG54" s="1029"/>
      <c r="BH54" s="1029"/>
      <c r="BI54" s="1029"/>
      <c r="BJ54" s="1029"/>
      <c r="BK54" s="1029"/>
      <c r="BL54" s="1029"/>
      <c r="BM54" s="1029"/>
      <c r="BN54" s="1029"/>
      <c r="BO54" s="1029"/>
      <c r="BP54" s="1029"/>
      <c r="BQ54" s="1029"/>
      <c r="BR54" s="1029"/>
      <c r="BS54" s="1029"/>
      <c r="BT54" s="1029"/>
      <c r="BU54" s="1029"/>
      <c r="BV54" s="1029"/>
    </row>
    <row r="55" spans="1:74" s="1030" customFormat="1" ht="60.75">
      <c r="A55" s="1012">
        <v>45</v>
      </c>
      <c r="B55" s="1036" t="s">
        <v>1872</v>
      </c>
      <c r="C55" s="1037">
        <v>-100000</v>
      </c>
      <c r="D55" s="1029"/>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29"/>
      <c r="AT55" s="1029"/>
      <c r="AU55" s="1029"/>
      <c r="AV55" s="1029"/>
      <c r="AW55" s="1029"/>
      <c r="AX55" s="1029"/>
      <c r="AY55" s="1029"/>
      <c r="AZ55" s="1029"/>
      <c r="BA55" s="1029"/>
      <c r="BB55" s="1029"/>
      <c r="BC55" s="1029"/>
      <c r="BD55" s="1029"/>
      <c r="BE55" s="1029"/>
      <c r="BF55" s="1029"/>
      <c r="BG55" s="1029"/>
      <c r="BH55" s="1029"/>
      <c r="BI55" s="1029"/>
      <c r="BJ55" s="1029"/>
      <c r="BK55" s="1029"/>
      <c r="BL55" s="1029"/>
      <c r="BM55" s="1029"/>
      <c r="BN55" s="1029"/>
      <c r="BO55" s="1029"/>
      <c r="BP55" s="1029"/>
      <c r="BQ55" s="1029"/>
      <c r="BR55" s="1029"/>
      <c r="BS55" s="1029"/>
      <c r="BT55" s="1029"/>
      <c r="BU55" s="1029"/>
      <c r="BV55" s="1029"/>
    </row>
    <row r="56" spans="1:74" s="1030" customFormat="1" ht="60.75">
      <c r="A56" s="1012">
        <v>46</v>
      </c>
      <c r="B56" s="1034" t="s">
        <v>1873</v>
      </c>
      <c r="C56" s="1035">
        <f>C57+C58</f>
        <v>-1500000</v>
      </c>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29"/>
      <c r="AQ56" s="1029"/>
      <c r="AR56" s="1029"/>
      <c r="AS56" s="1029"/>
      <c r="AT56" s="1029"/>
      <c r="AU56" s="1029"/>
      <c r="AV56" s="1029"/>
      <c r="AW56" s="1029"/>
      <c r="AX56" s="1029"/>
      <c r="AY56" s="1029"/>
      <c r="AZ56" s="1029"/>
      <c r="BA56" s="1029"/>
      <c r="BB56" s="1029"/>
      <c r="BC56" s="1029"/>
      <c r="BD56" s="1029"/>
      <c r="BE56" s="1029"/>
      <c r="BF56" s="1029"/>
      <c r="BG56" s="1029"/>
      <c r="BH56" s="1029"/>
      <c r="BI56" s="1029"/>
      <c r="BJ56" s="1029"/>
      <c r="BK56" s="1029"/>
      <c r="BL56" s="1029"/>
      <c r="BM56" s="1029"/>
      <c r="BN56" s="1029"/>
      <c r="BO56" s="1029"/>
      <c r="BP56" s="1029"/>
      <c r="BQ56" s="1029"/>
      <c r="BR56" s="1029"/>
      <c r="BS56" s="1029"/>
      <c r="BT56" s="1029"/>
      <c r="BU56" s="1029"/>
      <c r="BV56" s="1029"/>
    </row>
    <row r="57" spans="1:74" s="1030" customFormat="1" ht="91.5">
      <c r="A57" s="1012">
        <v>47</v>
      </c>
      <c r="B57" s="1036" t="s">
        <v>1874</v>
      </c>
      <c r="C57" s="1037">
        <v>-500000</v>
      </c>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c r="AA57" s="1029"/>
      <c r="AB57" s="1029"/>
      <c r="AC57" s="1029"/>
      <c r="AD57" s="1029"/>
      <c r="AE57" s="1029"/>
      <c r="AF57" s="1029"/>
      <c r="AG57" s="1029"/>
      <c r="AH57" s="1029"/>
      <c r="AI57" s="1029"/>
      <c r="AJ57" s="1029"/>
      <c r="AK57" s="1029"/>
      <c r="AL57" s="1029"/>
      <c r="AM57" s="1029"/>
      <c r="AN57" s="1029"/>
      <c r="AO57" s="1029"/>
      <c r="AP57" s="1029"/>
      <c r="AQ57" s="1029"/>
      <c r="AR57" s="1029"/>
      <c r="AS57" s="1029"/>
      <c r="AT57" s="1029"/>
      <c r="AU57" s="1029"/>
      <c r="AV57" s="1029"/>
      <c r="AW57" s="1029"/>
      <c r="AX57" s="1029"/>
      <c r="AY57" s="1029"/>
      <c r="AZ57" s="1029"/>
      <c r="BA57" s="1029"/>
      <c r="BB57" s="1029"/>
      <c r="BC57" s="1029"/>
      <c r="BD57" s="1029"/>
      <c r="BE57" s="1029"/>
      <c r="BF57" s="1029"/>
      <c r="BG57" s="1029"/>
      <c r="BH57" s="1029"/>
      <c r="BI57" s="1029"/>
      <c r="BJ57" s="1029"/>
      <c r="BK57" s="1029"/>
      <c r="BL57" s="1029"/>
      <c r="BM57" s="1029"/>
      <c r="BN57" s="1029"/>
      <c r="BO57" s="1029"/>
      <c r="BP57" s="1029"/>
      <c r="BQ57" s="1029"/>
      <c r="BR57" s="1029"/>
      <c r="BS57" s="1029"/>
      <c r="BT57" s="1029"/>
      <c r="BU57" s="1029"/>
      <c r="BV57" s="1029"/>
    </row>
    <row r="58" spans="1:74" s="1030" customFormat="1" ht="60.75">
      <c r="A58" s="1012">
        <v>48</v>
      </c>
      <c r="B58" s="1036" t="s">
        <v>1875</v>
      </c>
      <c r="C58" s="1037">
        <v>-1000000</v>
      </c>
      <c r="D58" s="1029"/>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1029"/>
      <c r="AO58" s="1029"/>
      <c r="AP58" s="1029"/>
      <c r="AQ58" s="1029"/>
      <c r="AR58" s="1029"/>
      <c r="AS58" s="1029"/>
      <c r="AT58" s="1029"/>
      <c r="AU58" s="1029"/>
      <c r="AV58" s="1029"/>
      <c r="AW58" s="1029"/>
      <c r="AX58" s="1029"/>
      <c r="AY58" s="1029"/>
      <c r="AZ58" s="1029"/>
      <c r="BA58" s="1029"/>
      <c r="BB58" s="1029"/>
      <c r="BC58" s="1029"/>
      <c r="BD58" s="1029"/>
      <c r="BE58" s="1029"/>
      <c r="BF58" s="1029"/>
      <c r="BG58" s="1029"/>
      <c r="BH58" s="1029"/>
      <c r="BI58" s="1029"/>
      <c r="BJ58" s="1029"/>
      <c r="BK58" s="1029"/>
      <c r="BL58" s="1029"/>
      <c r="BM58" s="1029"/>
      <c r="BN58" s="1029"/>
      <c r="BO58" s="1029"/>
      <c r="BP58" s="1029"/>
      <c r="BQ58" s="1029"/>
      <c r="BR58" s="1029"/>
      <c r="BS58" s="1029"/>
      <c r="BT58" s="1029"/>
      <c r="BU58" s="1029"/>
      <c r="BV58" s="1029"/>
    </row>
    <row r="59" spans="1:74" s="1030" customFormat="1" ht="30">
      <c r="A59" s="1012">
        <v>49</v>
      </c>
      <c r="B59" s="1032" t="s">
        <v>1876</v>
      </c>
      <c r="C59" s="1033">
        <f>C60+C62+C66+C64</f>
        <v>980499.9999999991</v>
      </c>
      <c r="D59" s="1029"/>
      <c r="E59" s="1029"/>
      <c r="F59" s="1029"/>
      <c r="G59" s="1029"/>
      <c r="H59" s="1029"/>
      <c r="I59" s="1029"/>
      <c r="J59" s="1029"/>
      <c r="K59" s="1029"/>
      <c r="L59" s="1029"/>
      <c r="M59" s="1029"/>
      <c r="N59" s="1029"/>
      <c r="O59" s="1029"/>
      <c r="P59" s="1029"/>
      <c r="Q59" s="1029"/>
      <c r="R59" s="1029"/>
      <c r="S59" s="1029"/>
      <c r="T59" s="1029"/>
      <c r="U59" s="1029"/>
      <c r="V59" s="1029"/>
      <c r="W59" s="1029"/>
      <c r="X59" s="1029"/>
      <c r="Y59" s="1029"/>
      <c r="Z59" s="1029"/>
      <c r="AA59" s="1029"/>
      <c r="AB59" s="1029"/>
      <c r="AC59" s="1029"/>
      <c r="AD59" s="1029"/>
      <c r="AE59" s="1029"/>
      <c r="AF59" s="1029"/>
      <c r="AG59" s="1029"/>
      <c r="AH59" s="1029"/>
      <c r="AI59" s="1029"/>
      <c r="AJ59" s="1029"/>
      <c r="AK59" s="1029"/>
      <c r="AL59" s="1029"/>
      <c r="AM59" s="1029"/>
      <c r="AN59" s="1029"/>
      <c r="AO59" s="1029"/>
      <c r="AP59" s="1029"/>
      <c r="AQ59" s="1029"/>
      <c r="AR59" s="1029"/>
      <c r="AS59" s="1029"/>
      <c r="AT59" s="1029"/>
      <c r="AU59" s="1029"/>
      <c r="AV59" s="1029"/>
      <c r="AW59" s="1029"/>
      <c r="AX59" s="1029"/>
      <c r="AY59" s="1029"/>
      <c r="AZ59" s="1029"/>
      <c r="BA59" s="1029"/>
      <c r="BB59" s="1029"/>
      <c r="BC59" s="1029"/>
      <c r="BD59" s="1029"/>
      <c r="BE59" s="1029"/>
      <c r="BF59" s="1029"/>
      <c r="BG59" s="1029"/>
      <c r="BH59" s="1029"/>
      <c r="BI59" s="1029"/>
      <c r="BJ59" s="1029"/>
      <c r="BK59" s="1029"/>
      <c r="BL59" s="1029"/>
      <c r="BM59" s="1029"/>
      <c r="BN59" s="1029"/>
      <c r="BO59" s="1029"/>
      <c r="BP59" s="1029"/>
      <c r="BQ59" s="1029"/>
      <c r="BR59" s="1029"/>
      <c r="BS59" s="1029"/>
      <c r="BT59" s="1029"/>
      <c r="BU59" s="1029"/>
      <c r="BV59" s="1029"/>
    </row>
    <row r="60" spans="1:74" s="1030" customFormat="1" ht="91.5">
      <c r="A60" s="1012">
        <v>50</v>
      </c>
      <c r="B60" s="1034" t="s">
        <v>1877</v>
      </c>
      <c r="C60" s="1035">
        <f>SUM(C61:C61)</f>
        <v>980500</v>
      </c>
      <c r="D60" s="1029"/>
      <c r="E60" s="1029"/>
      <c r="F60" s="1029"/>
      <c r="G60" s="1029"/>
      <c r="H60" s="1029"/>
      <c r="I60" s="1029"/>
      <c r="J60" s="1029"/>
      <c r="K60" s="1029"/>
      <c r="L60" s="1029"/>
      <c r="M60" s="1029"/>
      <c r="N60" s="1029"/>
      <c r="O60" s="1029"/>
      <c r="P60" s="1029"/>
      <c r="Q60" s="1029"/>
      <c r="R60" s="1029"/>
      <c r="S60" s="1029"/>
      <c r="T60" s="1029"/>
      <c r="U60" s="1029"/>
      <c r="V60" s="1029"/>
      <c r="W60" s="1029"/>
      <c r="X60" s="1029"/>
      <c r="Y60" s="1029"/>
      <c r="Z60" s="1029"/>
      <c r="AA60" s="1029"/>
      <c r="AB60" s="1029"/>
      <c r="AC60" s="1029"/>
      <c r="AD60" s="1029"/>
      <c r="AE60" s="1029"/>
      <c r="AF60" s="1029"/>
      <c r="AG60" s="1029"/>
      <c r="AH60" s="1029"/>
      <c r="AI60" s="1029"/>
      <c r="AJ60" s="1029"/>
      <c r="AK60" s="1029"/>
      <c r="AL60" s="1029"/>
      <c r="AM60" s="1029"/>
      <c r="AN60" s="1029"/>
      <c r="AO60" s="1029"/>
      <c r="AP60" s="1029"/>
      <c r="AQ60" s="1029"/>
      <c r="AR60" s="1029"/>
      <c r="AS60" s="1029"/>
      <c r="AT60" s="1029"/>
      <c r="AU60" s="1029"/>
      <c r="AV60" s="1029"/>
      <c r="AW60" s="1029"/>
      <c r="AX60" s="1029"/>
      <c r="AY60" s="1029"/>
      <c r="AZ60" s="1029"/>
      <c r="BA60" s="1029"/>
      <c r="BB60" s="1029"/>
      <c r="BC60" s="1029"/>
      <c r="BD60" s="1029"/>
      <c r="BE60" s="1029"/>
      <c r="BF60" s="1029"/>
      <c r="BG60" s="1029"/>
      <c r="BH60" s="1029"/>
      <c r="BI60" s="1029"/>
      <c r="BJ60" s="1029"/>
      <c r="BK60" s="1029"/>
      <c r="BL60" s="1029"/>
      <c r="BM60" s="1029"/>
      <c r="BN60" s="1029"/>
      <c r="BO60" s="1029"/>
      <c r="BP60" s="1029"/>
      <c r="BQ60" s="1029"/>
      <c r="BR60" s="1029"/>
      <c r="BS60" s="1029"/>
      <c r="BT60" s="1029"/>
      <c r="BU60" s="1029"/>
      <c r="BV60" s="1029"/>
    </row>
    <row r="61" spans="1:74" s="1030" customFormat="1" ht="153">
      <c r="A61" s="1012">
        <v>51</v>
      </c>
      <c r="B61" s="1036" t="s">
        <v>1878</v>
      </c>
      <c r="C61" s="1037">
        <v>980500</v>
      </c>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29"/>
      <c r="AM61" s="1029"/>
      <c r="AN61" s="1029"/>
      <c r="AO61" s="1029"/>
      <c r="AP61" s="1029"/>
      <c r="AQ61" s="1029"/>
      <c r="AR61" s="1029"/>
      <c r="AS61" s="1029"/>
      <c r="AT61" s="1029"/>
      <c r="AU61" s="1029"/>
      <c r="AV61" s="1029"/>
      <c r="AW61" s="1029"/>
      <c r="AX61" s="1029"/>
      <c r="AY61" s="1029"/>
      <c r="AZ61" s="1029"/>
      <c r="BA61" s="1029"/>
      <c r="BB61" s="1029"/>
      <c r="BC61" s="1029"/>
      <c r="BD61" s="1029"/>
      <c r="BE61" s="1029"/>
      <c r="BF61" s="1029"/>
      <c r="BG61" s="1029"/>
      <c r="BH61" s="1029"/>
      <c r="BI61" s="1029"/>
      <c r="BJ61" s="1029"/>
      <c r="BK61" s="1029"/>
      <c r="BL61" s="1029"/>
      <c r="BM61" s="1029"/>
      <c r="BN61" s="1029"/>
      <c r="BO61" s="1029"/>
      <c r="BP61" s="1029"/>
      <c r="BQ61" s="1029"/>
      <c r="BR61" s="1029"/>
      <c r="BS61" s="1029"/>
      <c r="BT61" s="1029"/>
      <c r="BU61" s="1029"/>
      <c r="BV61" s="1029"/>
    </row>
    <row r="62" spans="1:74" s="1030" customFormat="1" ht="91.5">
      <c r="A62" s="1012">
        <v>52</v>
      </c>
      <c r="B62" s="1034" t="s">
        <v>1879</v>
      </c>
      <c r="C62" s="1035">
        <f>C63</f>
        <v>-1103876.4</v>
      </c>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1029"/>
      <c r="AD62" s="1029"/>
      <c r="AE62" s="1029"/>
      <c r="AF62" s="1029"/>
      <c r="AG62" s="1029"/>
      <c r="AH62" s="1029"/>
      <c r="AI62" s="1029"/>
      <c r="AJ62" s="1029"/>
      <c r="AK62" s="1029"/>
      <c r="AL62" s="1029"/>
      <c r="AM62" s="1029"/>
      <c r="AN62" s="1029"/>
      <c r="AO62" s="1029"/>
      <c r="AP62" s="1029"/>
      <c r="AQ62" s="1029"/>
      <c r="AR62" s="1029"/>
      <c r="AS62" s="1029"/>
      <c r="AT62" s="1029"/>
      <c r="AU62" s="1029"/>
      <c r="AV62" s="1029"/>
      <c r="AW62" s="1029"/>
      <c r="AX62" s="1029"/>
      <c r="AY62" s="1029"/>
      <c r="AZ62" s="1029"/>
      <c r="BA62" s="1029"/>
      <c r="BB62" s="1029"/>
      <c r="BC62" s="1029"/>
      <c r="BD62" s="1029"/>
      <c r="BE62" s="1029"/>
      <c r="BF62" s="1029"/>
      <c r="BG62" s="1029"/>
      <c r="BH62" s="1029"/>
      <c r="BI62" s="1029"/>
      <c r="BJ62" s="1029"/>
      <c r="BK62" s="1029"/>
      <c r="BL62" s="1029"/>
      <c r="BM62" s="1029"/>
      <c r="BN62" s="1029"/>
      <c r="BO62" s="1029"/>
      <c r="BP62" s="1029"/>
      <c r="BQ62" s="1029"/>
      <c r="BR62" s="1029"/>
      <c r="BS62" s="1029"/>
      <c r="BT62" s="1029"/>
      <c r="BU62" s="1029"/>
      <c r="BV62" s="1029"/>
    </row>
    <row r="63" spans="1:74" s="1030" customFormat="1" ht="91.5">
      <c r="A63" s="1012">
        <v>53</v>
      </c>
      <c r="B63" s="1036" t="s">
        <v>1880</v>
      </c>
      <c r="C63" s="1038">
        <f>-1000876.4-103000</f>
        <v>-1103876.4</v>
      </c>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c r="AG63" s="1029"/>
      <c r="AH63" s="1029"/>
      <c r="AI63" s="1029"/>
      <c r="AJ63" s="1029"/>
      <c r="AK63" s="1029"/>
      <c r="AL63" s="1029"/>
      <c r="AM63" s="1029"/>
      <c r="AN63" s="1029"/>
      <c r="AO63" s="1029"/>
      <c r="AP63" s="1029"/>
      <c r="AQ63" s="1029"/>
      <c r="AR63" s="1029"/>
      <c r="AS63" s="1029"/>
      <c r="AT63" s="1029"/>
      <c r="AU63" s="1029"/>
      <c r="AV63" s="1029"/>
      <c r="AW63" s="1029"/>
      <c r="AX63" s="1029"/>
      <c r="AY63" s="1029"/>
      <c r="AZ63" s="1029"/>
      <c r="BA63" s="1029"/>
      <c r="BB63" s="1029"/>
      <c r="BC63" s="1029"/>
      <c r="BD63" s="1029"/>
      <c r="BE63" s="1029"/>
      <c r="BF63" s="1029"/>
      <c r="BG63" s="1029"/>
      <c r="BH63" s="1029"/>
      <c r="BI63" s="1029"/>
      <c r="BJ63" s="1029"/>
      <c r="BK63" s="1029"/>
      <c r="BL63" s="1029"/>
      <c r="BM63" s="1029"/>
      <c r="BN63" s="1029"/>
      <c r="BO63" s="1029"/>
      <c r="BP63" s="1029"/>
      <c r="BQ63" s="1029"/>
      <c r="BR63" s="1029"/>
      <c r="BS63" s="1029"/>
      <c r="BT63" s="1029"/>
      <c r="BU63" s="1029"/>
      <c r="BV63" s="1029"/>
    </row>
    <row r="64" spans="1:74" s="1030" customFormat="1" ht="60.75">
      <c r="A64" s="1012">
        <v>54</v>
      </c>
      <c r="B64" s="1034" t="s">
        <v>1881</v>
      </c>
      <c r="C64" s="1035">
        <f>C65</f>
        <v>-4346673.36</v>
      </c>
      <c r="D64" s="1029"/>
      <c r="E64" s="1029"/>
      <c r="F64" s="1029"/>
      <c r="G64" s="1029"/>
      <c r="H64" s="1029"/>
      <c r="I64" s="1029"/>
      <c r="J64" s="1029"/>
      <c r="K64" s="1029"/>
      <c r="L64" s="1029"/>
      <c r="M64" s="1029"/>
      <c r="N64" s="1029"/>
      <c r="O64" s="1029"/>
      <c r="P64" s="1029"/>
      <c r="Q64" s="1029"/>
      <c r="R64" s="1029"/>
      <c r="S64" s="1029"/>
      <c r="T64" s="1029"/>
      <c r="U64" s="1029"/>
      <c r="V64" s="1029"/>
      <c r="W64" s="1029"/>
      <c r="X64" s="1029"/>
      <c r="Y64" s="1029"/>
      <c r="Z64" s="1029"/>
      <c r="AA64" s="1029"/>
      <c r="AB64" s="1029"/>
      <c r="AC64" s="1029"/>
      <c r="AD64" s="1029"/>
      <c r="AE64" s="1029"/>
      <c r="AF64" s="1029"/>
      <c r="AG64" s="1029"/>
      <c r="AH64" s="1029"/>
      <c r="AI64" s="1029"/>
      <c r="AJ64" s="1029"/>
      <c r="AK64" s="1029"/>
      <c r="AL64" s="1029"/>
      <c r="AM64" s="1029"/>
      <c r="AN64" s="1029"/>
      <c r="AO64" s="1029"/>
      <c r="AP64" s="1029"/>
      <c r="AQ64" s="1029"/>
      <c r="AR64" s="1029"/>
      <c r="AS64" s="1029"/>
      <c r="AT64" s="1029"/>
      <c r="AU64" s="1029"/>
      <c r="AV64" s="1029"/>
      <c r="AW64" s="1029"/>
      <c r="AX64" s="1029"/>
      <c r="AY64" s="1029"/>
      <c r="AZ64" s="1029"/>
      <c r="BA64" s="1029"/>
      <c r="BB64" s="1029"/>
      <c r="BC64" s="1029"/>
      <c r="BD64" s="1029"/>
      <c r="BE64" s="1029"/>
      <c r="BF64" s="1029"/>
      <c r="BG64" s="1029"/>
      <c r="BH64" s="1029"/>
      <c r="BI64" s="1029"/>
      <c r="BJ64" s="1029"/>
      <c r="BK64" s="1029"/>
      <c r="BL64" s="1029"/>
      <c r="BM64" s="1029"/>
      <c r="BN64" s="1029"/>
      <c r="BO64" s="1029"/>
      <c r="BP64" s="1029"/>
      <c r="BQ64" s="1029"/>
      <c r="BR64" s="1029"/>
      <c r="BS64" s="1029"/>
      <c r="BT64" s="1029"/>
      <c r="BU64" s="1029"/>
      <c r="BV64" s="1029"/>
    </row>
    <row r="65" spans="1:74" s="1030" customFormat="1" ht="91.5">
      <c r="A65" s="1012">
        <v>55</v>
      </c>
      <c r="B65" s="1036" t="s">
        <v>1882</v>
      </c>
      <c r="C65" s="1038">
        <f>-4313557.03-33116.33</f>
        <v>-4346673.36</v>
      </c>
      <c r="D65" s="1029"/>
      <c r="E65" s="1029"/>
      <c r="F65" s="1029"/>
      <c r="G65" s="1029"/>
      <c r="H65" s="1029"/>
      <c r="I65" s="1029"/>
      <c r="J65" s="1029"/>
      <c r="K65" s="1029"/>
      <c r="L65" s="1029"/>
      <c r="M65" s="1029"/>
      <c r="N65" s="1029"/>
      <c r="O65" s="1029"/>
      <c r="P65" s="1029"/>
      <c r="Q65" s="1029"/>
      <c r="R65" s="1029"/>
      <c r="S65" s="1029"/>
      <c r="T65" s="1029"/>
      <c r="U65" s="1029"/>
      <c r="V65" s="1029"/>
      <c r="W65" s="1029"/>
      <c r="X65" s="1029"/>
      <c r="Y65" s="1029"/>
      <c r="Z65" s="1029"/>
      <c r="AA65" s="1029"/>
      <c r="AB65" s="1029"/>
      <c r="AC65" s="1029"/>
      <c r="AD65" s="1029"/>
      <c r="AE65" s="1029"/>
      <c r="AF65" s="1029"/>
      <c r="AG65" s="1029"/>
      <c r="AH65" s="1029"/>
      <c r="AI65" s="1029"/>
      <c r="AJ65" s="1029"/>
      <c r="AK65" s="1029"/>
      <c r="AL65" s="1029"/>
      <c r="AM65" s="1029"/>
      <c r="AN65" s="1029"/>
      <c r="AO65" s="1029"/>
      <c r="AP65" s="1029"/>
      <c r="AQ65" s="1029"/>
      <c r="AR65" s="1029"/>
      <c r="AS65" s="1029"/>
      <c r="AT65" s="1029"/>
      <c r="AU65" s="1029"/>
      <c r="AV65" s="1029"/>
      <c r="AW65" s="1029"/>
      <c r="AX65" s="1029"/>
      <c r="AY65" s="1029"/>
      <c r="AZ65" s="1029"/>
      <c r="BA65" s="1029"/>
      <c r="BB65" s="1029"/>
      <c r="BC65" s="1029"/>
      <c r="BD65" s="1029"/>
      <c r="BE65" s="1029"/>
      <c r="BF65" s="1029"/>
      <c r="BG65" s="1029"/>
      <c r="BH65" s="1029"/>
      <c r="BI65" s="1029"/>
      <c r="BJ65" s="1029"/>
      <c r="BK65" s="1029"/>
      <c r="BL65" s="1029"/>
      <c r="BM65" s="1029"/>
      <c r="BN65" s="1029"/>
      <c r="BO65" s="1029"/>
      <c r="BP65" s="1029"/>
      <c r="BQ65" s="1029"/>
      <c r="BR65" s="1029"/>
      <c r="BS65" s="1029"/>
      <c r="BT65" s="1029"/>
      <c r="BU65" s="1029"/>
      <c r="BV65" s="1029"/>
    </row>
    <row r="66" spans="1:74" s="1030" customFormat="1" ht="30">
      <c r="A66" s="1012">
        <v>56</v>
      </c>
      <c r="B66" s="1034" t="s">
        <v>1883</v>
      </c>
      <c r="C66" s="1035">
        <f>SUM(C67:C68)</f>
        <v>5450549.76</v>
      </c>
      <c r="D66" s="1029"/>
      <c r="E66" s="1029"/>
      <c r="F66" s="1029"/>
      <c r="G66" s="1029"/>
      <c r="H66" s="1029"/>
      <c r="I66" s="1029"/>
      <c r="J66" s="1029"/>
      <c r="K66" s="1029"/>
      <c r="L66" s="1029"/>
      <c r="M66" s="1029"/>
      <c r="N66" s="1029"/>
      <c r="O66" s="1029"/>
      <c r="P66" s="1029"/>
      <c r="Q66" s="1029"/>
      <c r="R66" s="1029"/>
      <c r="S66" s="1029"/>
      <c r="T66" s="1029"/>
      <c r="U66" s="1029"/>
      <c r="V66" s="1029"/>
      <c r="W66" s="1029"/>
      <c r="X66" s="1029"/>
      <c r="Y66" s="1029"/>
      <c r="Z66" s="1029"/>
      <c r="AA66" s="1029"/>
      <c r="AB66" s="1029"/>
      <c r="AC66" s="1029"/>
      <c r="AD66" s="1029"/>
      <c r="AE66" s="1029"/>
      <c r="AF66" s="1029"/>
      <c r="AG66" s="1029"/>
      <c r="AH66" s="1029"/>
      <c r="AI66" s="1029"/>
      <c r="AJ66" s="1029"/>
      <c r="AK66" s="1029"/>
      <c r="AL66" s="1029"/>
      <c r="AM66" s="1029"/>
      <c r="AN66" s="1029"/>
      <c r="AO66" s="1029"/>
      <c r="AP66" s="1029"/>
      <c r="AQ66" s="1029"/>
      <c r="AR66" s="1029"/>
      <c r="AS66" s="1029"/>
      <c r="AT66" s="1029"/>
      <c r="AU66" s="1029"/>
      <c r="AV66" s="1029"/>
      <c r="AW66" s="1029"/>
      <c r="AX66" s="1029"/>
      <c r="AY66" s="1029"/>
      <c r="AZ66" s="1029"/>
      <c r="BA66" s="1029"/>
      <c r="BB66" s="1029"/>
      <c r="BC66" s="1029"/>
      <c r="BD66" s="1029"/>
      <c r="BE66" s="1029"/>
      <c r="BF66" s="1029"/>
      <c r="BG66" s="1029"/>
      <c r="BH66" s="1029"/>
      <c r="BI66" s="1029"/>
      <c r="BJ66" s="1029"/>
      <c r="BK66" s="1029"/>
      <c r="BL66" s="1029"/>
      <c r="BM66" s="1029"/>
      <c r="BN66" s="1029"/>
      <c r="BO66" s="1029"/>
      <c r="BP66" s="1029"/>
      <c r="BQ66" s="1029"/>
      <c r="BR66" s="1029"/>
      <c r="BS66" s="1029"/>
      <c r="BT66" s="1029"/>
      <c r="BU66" s="1029"/>
      <c r="BV66" s="1029"/>
    </row>
    <row r="67" spans="1:74" s="1030" customFormat="1" ht="60.75">
      <c r="A67" s="1012">
        <v>57</v>
      </c>
      <c r="B67" s="1036" t="s">
        <v>1884</v>
      </c>
      <c r="C67" s="1038">
        <v>1156860.25</v>
      </c>
      <c r="D67" s="1029"/>
      <c r="E67" s="1029"/>
      <c r="F67" s="1029"/>
      <c r="G67" s="1029"/>
      <c r="H67" s="1029"/>
      <c r="I67" s="1029"/>
      <c r="J67" s="1029"/>
      <c r="K67" s="1029"/>
      <c r="L67" s="1029"/>
      <c r="M67" s="1029"/>
      <c r="N67" s="1029"/>
      <c r="O67" s="1029"/>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029"/>
      <c r="AR67" s="1029"/>
      <c r="AS67" s="1029"/>
      <c r="AT67" s="1029"/>
      <c r="AU67" s="1029"/>
      <c r="AV67" s="1029"/>
      <c r="AW67" s="1029"/>
      <c r="AX67" s="1029"/>
      <c r="AY67" s="1029"/>
      <c r="AZ67" s="1029"/>
      <c r="BA67" s="1029"/>
      <c r="BB67" s="1029"/>
      <c r="BC67" s="1029"/>
      <c r="BD67" s="1029"/>
      <c r="BE67" s="1029"/>
      <c r="BF67" s="1029"/>
      <c r="BG67" s="1029"/>
      <c r="BH67" s="1029"/>
      <c r="BI67" s="1029"/>
      <c r="BJ67" s="1029"/>
      <c r="BK67" s="1029"/>
      <c r="BL67" s="1029"/>
      <c r="BM67" s="1029"/>
      <c r="BN67" s="1029"/>
      <c r="BO67" s="1029"/>
      <c r="BP67" s="1029"/>
      <c r="BQ67" s="1029"/>
      <c r="BR67" s="1029"/>
      <c r="BS67" s="1029"/>
      <c r="BT67" s="1029"/>
      <c r="BU67" s="1029"/>
      <c r="BV67" s="1029"/>
    </row>
    <row r="68" spans="1:74" s="1030" customFormat="1" ht="91.5">
      <c r="A68" s="1012">
        <v>58</v>
      </c>
      <c r="B68" s="1036" t="s">
        <v>1885</v>
      </c>
      <c r="C68" s="1038">
        <v>4293689.51</v>
      </c>
      <c r="D68" s="1029"/>
      <c r="E68" s="1029"/>
      <c r="F68" s="1029"/>
      <c r="G68" s="1029"/>
      <c r="H68" s="1029"/>
      <c r="I68" s="1029"/>
      <c r="J68" s="1029"/>
      <c r="K68" s="1029"/>
      <c r="L68" s="1029"/>
      <c r="M68" s="1029"/>
      <c r="N68" s="1029"/>
      <c r="O68" s="1029"/>
      <c r="P68" s="1029"/>
      <c r="Q68" s="1029"/>
      <c r="R68" s="1029"/>
      <c r="S68" s="1029"/>
      <c r="T68" s="1029"/>
      <c r="U68" s="1029"/>
      <c r="V68" s="1029"/>
      <c r="W68" s="1029"/>
      <c r="X68" s="1029"/>
      <c r="Y68" s="1029"/>
      <c r="Z68" s="1029"/>
      <c r="AA68" s="1029"/>
      <c r="AB68" s="1029"/>
      <c r="AC68" s="1029"/>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c r="AX68" s="1029"/>
      <c r="AY68" s="1029"/>
      <c r="AZ68" s="1029"/>
      <c r="BA68" s="1029"/>
      <c r="BB68" s="1029"/>
      <c r="BC68" s="1029"/>
      <c r="BD68" s="1029"/>
      <c r="BE68" s="1029"/>
      <c r="BF68" s="1029"/>
      <c r="BG68" s="1029"/>
      <c r="BH68" s="1029"/>
      <c r="BI68" s="1029"/>
      <c r="BJ68" s="1029"/>
      <c r="BK68" s="1029"/>
      <c r="BL68" s="1029"/>
      <c r="BM68" s="1029"/>
      <c r="BN68" s="1029"/>
      <c r="BO68" s="1029"/>
      <c r="BP68" s="1029"/>
      <c r="BQ68" s="1029"/>
      <c r="BR68" s="1029"/>
      <c r="BS68" s="1029"/>
      <c r="BT68" s="1029"/>
      <c r="BU68" s="1029"/>
      <c r="BV68" s="1029"/>
    </row>
    <row r="69" spans="1:74" s="1030" customFormat="1" ht="30">
      <c r="A69" s="1012">
        <v>59</v>
      </c>
      <c r="B69" s="1032" t="s">
        <v>1886</v>
      </c>
      <c r="C69" s="1033">
        <f>C70+C74</f>
        <v>30500</v>
      </c>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c r="AG69" s="1029"/>
      <c r="AH69" s="1029"/>
      <c r="AI69" s="1029"/>
      <c r="AJ69" s="1029"/>
      <c r="AK69" s="1029"/>
      <c r="AL69" s="1029"/>
      <c r="AM69" s="1029"/>
      <c r="AN69" s="1029"/>
      <c r="AO69" s="1029"/>
      <c r="AP69" s="1029"/>
      <c r="AQ69" s="1029"/>
      <c r="AR69" s="1029"/>
      <c r="AS69" s="1029"/>
      <c r="AT69" s="1029"/>
      <c r="AU69" s="1029"/>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1029"/>
      <c r="BR69" s="1029"/>
      <c r="BS69" s="1029"/>
      <c r="BT69" s="1029"/>
      <c r="BU69" s="1029"/>
      <c r="BV69" s="1029"/>
    </row>
    <row r="70" spans="1:74" s="1030" customFormat="1" ht="30">
      <c r="A70" s="1012">
        <v>60</v>
      </c>
      <c r="B70" s="1034" t="s">
        <v>1887</v>
      </c>
      <c r="C70" s="1035">
        <f>SUM(C71:C73)</f>
        <v>-303079.59</v>
      </c>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29"/>
      <c r="AY70" s="1029"/>
      <c r="AZ70" s="1029"/>
      <c r="BA70" s="1029"/>
      <c r="BB70" s="1029"/>
      <c r="BC70" s="1029"/>
      <c r="BD70" s="1029"/>
      <c r="BE70" s="1029"/>
      <c r="BF70" s="1029"/>
      <c r="BG70" s="1029"/>
      <c r="BH70" s="1029"/>
      <c r="BI70" s="1029"/>
      <c r="BJ70" s="1029"/>
      <c r="BK70" s="1029"/>
      <c r="BL70" s="1029"/>
      <c r="BM70" s="1029"/>
      <c r="BN70" s="1029"/>
      <c r="BO70" s="1029"/>
      <c r="BP70" s="1029"/>
      <c r="BQ70" s="1029"/>
      <c r="BR70" s="1029"/>
      <c r="BS70" s="1029"/>
      <c r="BT70" s="1029"/>
      <c r="BU70" s="1029"/>
      <c r="BV70" s="1029"/>
    </row>
    <row r="71" spans="1:74" s="1030" customFormat="1" ht="122.25">
      <c r="A71" s="1012">
        <v>61</v>
      </c>
      <c r="B71" s="1036" t="s">
        <v>1888</v>
      </c>
      <c r="C71" s="1037">
        <v>-333579.59</v>
      </c>
      <c r="D71" s="1029"/>
      <c r="E71" s="1029"/>
      <c r="F71" s="1029"/>
      <c r="G71" s="1029"/>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29"/>
      <c r="AY71" s="1029"/>
      <c r="AZ71" s="1029"/>
      <c r="BA71" s="1029"/>
      <c r="BB71" s="1029"/>
      <c r="BC71" s="1029"/>
      <c r="BD71" s="1029"/>
      <c r="BE71" s="1029"/>
      <c r="BF71" s="1029"/>
      <c r="BG71" s="1029"/>
      <c r="BH71" s="1029"/>
      <c r="BI71" s="1029"/>
      <c r="BJ71" s="1029"/>
      <c r="BK71" s="1029"/>
      <c r="BL71" s="1029"/>
      <c r="BM71" s="1029"/>
      <c r="BN71" s="1029"/>
      <c r="BO71" s="1029"/>
      <c r="BP71" s="1029"/>
      <c r="BQ71" s="1029"/>
      <c r="BR71" s="1029"/>
      <c r="BS71" s="1029"/>
      <c r="BT71" s="1029"/>
      <c r="BU71" s="1029"/>
      <c r="BV71" s="1029"/>
    </row>
    <row r="72" spans="1:74" s="1030" customFormat="1" ht="153">
      <c r="A72" s="1012">
        <v>62</v>
      </c>
      <c r="B72" s="1036" t="s">
        <v>1889</v>
      </c>
      <c r="C72" s="1037">
        <v>12500</v>
      </c>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1029"/>
      <c r="AA72" s="1029"/>
      <c r="AB72" s="1029"/>
      <c r="AC72" s="1029"/>
      <c r="AD72" s="1029"/>
      <c r="AE72" s="1029"/>
      <c r="AF72" s="1029"/>
      <c r="AG72" s="1029"/>
      <c r="AH72" s="1029"/>
      <c r="AI72" s="1029"/>
      <c r="AJ72" s="1029"/>
      <c r="AK72" s="1029"/>
      <c r="AL72" s="1029"/>
      <c r="AM72" s="1029"/>
      <c r="AN72" s="1029"/>
      <c r="AO72" s="1029"/>
      <c r="AP72" s="1029"/>
      <c r="AQ72" s="1029"/>
      <c r="AR72" s="1029"/>
      <c r="AS72" s="1029"/>
      <c r="AT72" s="1029"/>
      <c r="AU72" s="1029"/>
      <c r="AV72" s="1029"/>
      <c r="AW72" s="1029"/>
      <c r="AX72" s="1029"/>
      <c r="AY72" s="1029"/>
      <c r="AZ72" s="1029"/>
      <c r="BA72" s="1029"/>
      <c r="BB72" s="1029"/>
      <c r="BC72" s="1029"/>
      <c r="BD72" s="1029"/>
      <c r="BE72" s="1029"/>
      <c r="BF72" s="1029"/>
      <c r="BG72" s="1029"/>
      <c r="BH72" s="1029"/>
      <c r="BI72" s="1029"/>
      <c r="BJ72" s="1029"/>
      <c r="BK72" s="1029"/>
      <c r="BL72" s="1029"/>
      <c r="BM72" s="1029"/>
      <c r="BN72" s="1029"/>
      <c r="BO72" s="1029"/>
      <c r="BP72" s="1029"/>
      <c r="BQ72" s="1029"/>
      <c r="BR72" s="1029"/>
      <c r="BS72" s="1029"/>
      <c r="BT72" s="1029"/>
      <c r="BU72" s="1029"/>
      <c r="BV72" s="1029"/>
    </row>
    <row r="73" spans="1:74" s="1030" customFormat="1" ht="153">
      <c r="A73" s="1012">
        <v>63</v>
      </c>
      <c r="B73" s="1036" t="s">
        <v>1890</v>
      </c>
      <c r="C73" s="1037">
        <v>18000</v>
      </c>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029"/>
      <c r="AK73" s="1029"/>
      <c r="AL73" s="1029"/>
      <c r="AM73" s="1029"/>
      <c r="AN73" s="1029"/>
      <c r="AO73" s="1029"/>
      <c r="AP73" s="1029"/>
      <c r="AQ73" s="1029"/>
      <c r="AR73" s="1029"/>
      <c r="AS73" s="1029"/>
      <c r="AT73" s="1029"/>
      <c r="AU73" s="1029"/>
      <c r="AV73" s="1029"/>
      <c r="AW73" s="1029"/>
      <c r="AX73" s="1029"/>
      <c r="AY73" s="1029"/>
      <c r="AZ73" s="1029"/>
      <c r="BA73" s="1029"/>
      <c r="BB73" s="1029"/>
      <c r="BC73" s="1029"/>
      <c r="BD73" s="1029"/>
      <c r="BE73" s="1029"/>
      <c r="BF73" s="1029"/>
      <c r="BG73" s="1029"/>
      <c r="BH73" s="1029"/>
      <c r="BI73" s="1029"/>
      <c r="BJ73" s="1029"/>
      <c r="BK73" s="1029"/>
      <c r="BL73" s="1029"/>
      <c r="BM73" s="1029"/>
      <c r="BN73" s="1029"/>
      <c r="BO73" s="1029"/>
      <c r="BP73" s="1029"/>
      <c r="BQ73" s="1029"/>
      <c r="BR73" s="1029"/>
      <c r="BS73" s="1029"/>
      <c r="BT73" s="1029"/>
      <c r="BU73" s="1029"/>
      <c r="BV73" s="1029"/>
    </row>
    <row r="74" spans="1:74" s="1030" customFormat="1" ht="60.75">
      <c r="A74" s="1012">
        <v>64</v>
      </c>
      <c r="B74" s="1034" t="s">
        <v>1891</v>
      </c>
      <c r="C74" s="1035">
        <f>SUM(C75:C76)</f>
        <v>333579.59</v>
      </c>
      <c r="D74" s="1029"/>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1029"/>
      <c r="AA74" s="1029"/>
      <c r="AB74" s="1029"/>
      <c r="AC74" s="1029"/>
      <c r="AD74" s="1029"/>
      <c r="AE74" s="1029"/>
      <c r="AF74" s="1029"/>
      <c r="AG74" s="1029"/>
      <c r="AH74" s="1029"/>
      <c r="AI74" s="1029"/>
      <c r="AJ74" s="1029"/>
      <c r="AK74" s="1029"/>
      <c r="AL74" s="1029"/>
      <c r="AM74" s="1029"/>
      <c r="AN74" s="1029"/>
      <c r="AO74" s="1029"/>
      <c r="AP74" s="1029"/>
      <c r="AQ74" s="1029"/>
      <c r="AR74" s="1029"/>
      <c r="AS74" s="1029"/>
      <c r="AT74" s="1029"/>
      <c r="AU74" s="1029"/>
      <c r="AV74" s="1029"/>
      <c r="AW74" s="1029"/>
      <c r="AX74" s="1029"/>
      <c r="AY74" s="1029"/>
      <c r="AZ74" s="1029"/>
      <c r="BA74" s="1029"/>
      <c r="BB74" s="1029"/>
      <c r="BC74" s="1029"/>
      <c r="BD74" s="1029"/>
      <c r="BE74" s="1029"/>
      <c r="BF74" s="1029"/>
      <c r="BG74" s="1029"/>
      <c r="BH74" s="1029"/>
      <c r="BI74" s="1029"/>
      <c r="BJ74" s="1029"/>
      <c r="BK74" s="1029"/>
      <c r="BL74" s="1029"/>
      <c r="BM74" s="1029"/>
      <c r="BN74" s="1029"/>
      <c r="BO74" s="1029"/>
      <c r="BP74" s="1029"/>
      <c r="BQ74" s="1029"/>
      <c r="BR74" s="1029"/>
      <c r="BS74" s="1029"/>
      <c r="BT74" s="1029"/>
      <c r="BU74" s="1029"/>
      <c r="BV74" s="1029"/>
    </row>
    <row r="75" spans="1:74" s="1030" customFormat="1" ht="60.75">
      <c r="A75" s="1012">
        <v>65</v>
      </c>
      <c r="B75" s="1036" t="s">
        <v>1892</v>
      </c>
      <c r="C75" s="1037">
        <v>-50179.04</v>
      </c>
      <c r="D75" s="1029"/>
      <c r="E75" s="1029"/>
      <c r="F75" s="1029"/>
      <c r="G75" s="1029"/>
      <c r="H75" s="1029"/>
      <c r="I75" s="1029"/>
      <c r="J75" s="1029"/>
      <c r="K75" s="1029"/>
      <c r="L75" s="1029"/>
      <c r="M75" s="1029"/>
      <c r="N75" s="1029"/>
      <c r="O75" s="1029"/>
      <c r="P75" s="1029"/>
      <c r="Q75" s="1029"/>
      <c r="R75" s="1029"/>
      <c r="S75" s="1029"/>
      <c r="T75" s="1029"/>
      <c r="U75" s="1029"/>
      <c r="V75" s="1029"/>
      <c r="W75" s="1029"/>
      <c r="X75" s="1029"/>
      <c r="Y75" s="1029"/>
      <c r="Z75" s="1029"/>
      <c r="AA75" s="1029"/>
      <c r="AB75" s="1029"/>
      <c r="AC75" s="1029"/>
      <c r="AD75" s="1029"/>
      <c r="AE75" s="1029"/>
      <c r="AF75" s="1029"/>
      <c r="AG75" s="1029"/>
      <c r="AH75" s="1029"/>
      <c r="AI75" s="1029"/>
      <c r="AJ75" s="1029"/>
      <c r="AK75" s="1029"/>
      <c r="AL75" s="1029"/>
      <c r="AM75" s="1029"/>
      <c r="AN75" s="1029"/>
      <c r="AO75" s="1029"/>
      <c r="AP75" s="1029"/>
      <c r="AQ75" s="1029"/>
      <c r="AR75" s="1029"/>
      <c r="AS75" s="1029"/>
      <c r="AT75" s="1029"/>
      <c r="AU75" s="1029"/>
      <c r="AV75" s="1029"/>
      <c r="AW75" s="1029"/>
      <c r="AX75" s="1029"/>
      <c r="AY75" s="1029"/>
      <c r="AZ75" s="1029"/>
      <c r="BA75" s="1029"/>
      <c r="BB75" s="1029"/>
      <c r="BC75" s="1029"/>
      <c r="BD75" s="1029"/>
      <c r="BE75" s="1029"/>
      <c r="BF75" s="1029"/>
      <c r="BG75" s="1029"/>
      <c r="BH75" s="1029"/>
      <c r="BI75" s="1029"/>
      <c r="BJ75" s="1029"/>
      <c r="BK75" s="1029"/>
      <c r="BL75" s="1029"/>
      <c r="BM75" s="1029"/>
      <c r="BN75" s="1029"/>
      <c r="BO75" s="1029"/>
      <c r="BP75" s="1029"/>
      <c r="BQ75" s="1029"/>
      <c r="BR75" s="1029"/>
      <c r="BS75" s="1029"/>
      <c r="BT75" s="1029"/>
      <c r="BU75" s="1029"/>
      <c r="BV75" s="1029"/>
    </row>
    <row r="76" spans="1:74" s="1030" customFormat="1" ht="30">
      <c r="A76" s="1012">
        <v>66</v>
      </c>
      <c r="B76" s="1036" t="s">
        <v>1893</v>
      </c>
      <c r="C76" s="1038">
        <v>383758.63</v>
      </c>
      <c r="D76" s="1029"/>
      <c r="E76" s="1029"/>
      <c r="F76" s="1029"/>
      <c r="G76" s="1029"/>
      <c r="H76" s="1029"/>
      <c r="I76" s="1029"/>
      <c r="J76" s="1029"/>
      <c r="K76" s="1029"/>
      <c r="L76" s="1029"/>
      <c r="M76" s="1029"/>
      <c r="N76" s="1029"/>
      <c r="O76" s="1029"/>
      <c r="P76" s="1029"/>
      <c r="Q76" s="1029"/>
      <c r="R76" s="1029"/>
      <c r="S76" s="1029"/>
      <c r="T76" s="1029"/>
      <c r="U76" s="1029"/>
      <c r="V76" s="1029"/>
      <c r="W76" s="1029"/>
      <c r="X76" s="1029"/>
      <c r="Y76" s="1029"/>
      <c r="Z76" s="1029"/>
      <c r="AA76" s="1029"/>
      <c r="AB76" s="1029"/>
      <c r="AC76" s="1029"/>
      <c r="AD76" s="1029"/>
      <c r="AE76" s="1029"/>
      <c r="AF76" s="1029"/>
      <c r="AG76" s="1029"/>
      <c r="AH76" s="1029"/>
      <c r="AI76" s="1029"/>
      <c r="AJ76" s="1029"/>
      <c r="AK76" s="1029"/>
      <c r="AL76" s="1029"/>
      <c r="AM76" s="1029"/>
      <c r="AN76" s="1029"/>
      <c r="AO76" s="1029"/>
      <c r="AP76" s="1029"/>
      <c r="AQ76" s="1029"/>
      <c r="AR76" s="1029"/>
      <c r="AS76" s="1029"/>
      <c r="AT76" s="1029"/>
      <c r="AU76" s="1029"/>
      <c r="AV76" s="1029"/>
      <c r="AW76" s="1029"/>
      <c r="AX76" s="1029"/>
      <c r="AY76" s="1029"/>
      <c r="AZ76" s="1029"/>
      <c r="BA76" s="1029"/>
      <c r="BB76" s="1029"/>
      <c r="BC76" s="1029"/>
      <c r="BD76" s="1029"/>
      <c r="BE76" s="1029"/>
      <c r="BF76" s="1029"/>
      <c r="BG76" s="1029"/>
      <c r="BH76" s="1029"/>
      <c r="BI76" s="1029"/>
      <c r="BJ76" s="1029"/>
      <c r="BK76" s="1029"/>
      <c r="BL76" s="1029"/>
      <c r="BM76" s="1029"/>
      <c r="BN76" s="1029"/>
      <c r="BO76" s="1029"/>
      <c r="BP76" s="1029"/>
      <c r="BQ76" s="1029"/>
      <c r="BR76" s="1029"/>
      <c r="BS76" s="1029"/>
      <c r="BT76" s="1029"/>
      <c r="BU76" s="1029"/>
      <c r="BV76" s="1029"/>
    </row>
    <row r="77" spans="1:3" ht="10.5" customHeight="1">
      <c r="A77" s="1012"/>
      <c r="B77" s="1034"/>
      <c r="C77" s="1035"/>
    </row>
    <row r="78" spans="1:3" ht="30">
      <c r="A78" s="1039"/>
      <c r="B78" s="1010" t="s">
        <v>1894</v>
      </c>
      <c r="C78" s="1011"/>
    </row>
    <row r="79" spans="1:3" ht="30">
      <c r="A79" s="1039"/>
      <c r="B79" s="1010" t="s">
        <v>1895</v>
      </c>
      <c r="C79" s="1040"/>
    </row>
    <row r="80" spans="1:3" s="1043" customFormat="1" ht="14.25" customHeight="1">
      <c r="A80" s="1041"/>
      <c r="B80" s="1013"/>
      <c r="C80" s="1042"/>
    </row>
    <row r="81" spans="1:3" ht="30">
      <c r="A81" s="1009"/>
      <c r="B81" s="1015" t="s">
        <v>1845</v>
      </c>
      <c r="C81" s="1016">
        <f>C82</f>
        <v>22520944.22</v>
      </c>
    </row>
    <row r="82" spans="1:7" ht="60.75">
      <c r="A82" s="1009">
        <v>67</v>
      </c>
      <c r="B82" s="1023" t="s">
        <v>1846</v>
      </c>
      <c r="C82" s="1018">
        <f>-C22</f>
        <v>22520944.22</v>
      </c>
      <c r="G82" s="1044"/>
    </row>
    <row r="83" spans="1:74" s="1030" customFormat="1" ht="11.25" customHeight="1">
      <c r="A83" s="1009"/>
      <c r="B83" s="1027"/>
      <c r="C83" s="1028"/>
      <c r="D83" s="1029"/>
      <c r="E83" s="1029"/>
      <c r="F83" s="1029"/>
      <c r="G83" s="1029"/>
      <c r="H83" s="1029"/>
      <c r="I83" s="1029"/>
      <c r="J83" s="1029"/>
      <c r="K83" s="1029"/>
      <c r="L83" s="1029"/>
      <c r="M83" s="1029"/>
      <c r="N83" s="1029"/>
      <c r="O83" s="1029"/>
      <c r="P83" s="1029"/>
      <c r="Q83" s="1029"/>
      <c r="R83" s="1029"/>
      <c r="S83" s="1029"/>
      <c r="T83" s="1029"/>
      <c r="U83" s="1029"/>
      <c r="V83" s="1029"/>
      <c r="W83" s="1029"/>
      <c r="X83" s="1029"/>
      <c r="Y83" s="1029"/>
      <c r="Z83" s="1029"/>
      <c r="AA83" s="1029"/>
      <c r="AB83" s="1029"/>
      <c r="AC83" s="1029"/>
      <c r="AD83" s="1029"/>
      <c r="AE83" s="1029"/>
      <c r="AF83" s="1029"/>
      <c r="AG83" s="1029"/>
      <c r="AH83" s="1029"/>
      <c r="AI83" s="1029"/>
      <c r="AJ83" s="1029"/>
      <c r="AK83" s="1029"/>
      <c r="AL83" s="1029"/>
      <c r="AM83" s="1029"/>
      <c r="AN83" s="1029"/>
      <c r="AO83" s="1029"/>
      <c r="AP83" s="1029"/>
      <c r="AQ83" s="1029"/>
      <c r="AR83" s="1029"/>
      <c r="AS83" s="1029"/>
      <c r="AT83" s="1029"/>
      <c r="AU83" s="1029"/>
      <c r="AV83" s="1029"/>
      <c r="AW83" s="1029"/>
      <c r="AX83" s="1029"/>
      <c r="AY83" s="1029"/>
      <c r="AZ83" s="1029"/>
      <c r="BA83" s="1029"/>
      <c r="BB83" s="1029"/>
      <c r="BC83" s="1029"/>
      <c r="BD83" s="1029"/>
      <c r="BE83" s="1029"/>
      <c r="BF83" s="1029"/>
      <c r="BG83" s="1029"/>
      <c r="BH83" s="1029"/>
      <c r="BI83" s="1029"/>
      <c r="BJ83" s="1029"/>
      <c r="BK83" s="1029"/>
      <c r="BL83" s="1029"/>
      <c r="BM83" s="1029"/>
      <c r="BN83" s="1029"/>
      <c r="BO83" s="1029"/>
      <c r="BP83" s="1029"/>
      <c r="BQ83" s="1029"/>
      <c r="BR83" s="1029"/>
      <c r="BS83" s="1029"/>
      <c r="BT83" s="1029"/>
      <c r="BU83" s="1029"/>
      <c r="BV83" s="1029"/>
    </row>
    <row r="84" spans="1:4" ht="30">
      <c r="A84" s="1039"/>
      <c r="B84" s="1015" t="s">
        <v>1896</v>
      </c>
      <c r="C84" s="1016">
        <f>C85+C113</f>
        <v>22520944.22</v>
      </c>
      <c r="D84" s="1044"/>
    </row>
    <row r="85" spans="1:74" s="1030" customFormat="1" ht="30">
      <c r="A85" s="1012">
        <v>68</v>
      </c>
      <c r="B85" s="1032" t="s">
        <v>1897</v>
      </c>
      <c r="C85" s="1033">
        <f>C86+C88++C97+C99+C101+C111</f>
        <v>13815665.22</v>
      </c>
      <c r="D85" s="1029"/>
      <c r="E85" s="1029"/>
      <c r="F85" s="1029"/>
      <c r="G85" s="1031"/>
      <c r="H85" s="1029"/>
      <c r="I85" s="1029"/>
      <c r="J85" s="1029"/>
      <c r="K85" s="1029"/>
      <c r="L85" s="1029"/>
      <c r="M85" s="1029"/>
      <c r="N85" s="1029"/>
      <c r="O85" s="1029"/>
      <c r="P85" s="1029"/>
      <c r="Q85" s="1029"/>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29"/>
      <c r="AN85" s="1029"/>
      <c r="AO85" s="1029"/>
      <c r="AP85" s="1029"/>
      <c r="AQ85" s="1029"/>
      <c r="AR85" s="1029"/>
      <c r="AS85" s="1029"/>
      <c r="AT85" s="1029"/>
      <c r="AU85" s="1029"/>
      <c r="AV85" s="1029"/>
      <c r="AW85" s="1029"/>
      <c r="AX85" s="1029"/>
      <c r="AY85" s="1029"/>
      <c r="AZ85" s="1029"/>
      <c r="BA85" s="1029"/>
      <c r="BB85" s="1029"/>
      <c r="BC85" s="1029"/>
      <c r="BD85" s="1029"/>
      <c r="BE85" s="1029"/>
      <c r="BF85" s="1029"/>
      <c r="BG85" s="1029"/>
      <c r="BH85" s="1029"/>
      <c r="BI85" s="1029"/>
      <c r="BJ85" s="1029"/>
      <c r="BK85" s="1029"/>
      <c r="BL85" s="1029"/>
      <c r="BM85" s="1029"/>
      <c r="BN85" s="1029"/>
      <c r="BO85" s="1029"/>
      <c r="BP85" s="1029"/>
      <c r="BQ85" s="1029"/>
      <c r="BR85" s="1029"/>
      <c r="BS85" s="1029"/>
      <c r="BT85" s="1029"/>
      <c r="BU85" s="1029"/>
      <c r="BV85" s="1029"/>
    </row>
    <row r="86" spans="1:74" s="1030" customFormat="1" ht="30">
      <c r="A86" s="1012">
        <v>69</v>
      </c>
      <c r="B86" s="1034" t="s">
        <v>1849</v>
      </c>
      <c r="C86" s="1035">
        <f>C87</f>
        <v>53227</v>
      </c>
      <c r="D86" s="1029"/>
      <c r="E86" s="1029"/>
      <c r="F86" s="1029"/>
      <c r="G86" s="1029"/>
      <c r="H86" s="1029"/>
      <c r="I86" s="1029"/>
      <c r="J86" s="1029"/>
      <c r="K86" s="1029"/>
      <c r="L86" s="1029"/>
      <c r="M86" s="1029"/>
      <c r="N86" s="1029"/>
      <c r="O86" s="1029"/>
      <c r="P86" s="1029"/>
      <c r="Q86" s="1029"/>
      <c r="R86" s="1029"/>
      <c r="S86" s="1029"/>
      <c r="T86" s="1029"/>
      <c r="U86" s="1029"/>
      <c r="V86" s="1029"/>
      <c r="W86" s="1029"/>
      <c r="X86" s="1029"/>
      <c r="Y86" s="1029"/>
      <c r="Z86" s="1029"/>
      <c r="AA86" s="1029"/>
      <c r="AB86" s="1029"/>
      <c r="AC86" s="1029"/>
      <c r="AD86" s="1029"/>
      <c r="AE86" s="1029"/>
      <c r="AF86" s="1029"/>
      <c r="AG86" s="1029"/>
      <c r="AH86" s="1029"/>
      <c r="AI86" s="1029"/>
      <c r="AJ86" s="1029"/>
      <c r="AK86" s="1029"/>
      <c r="AL86" s="1029"/>
      <c r="AM86" s="1029"/>
      <c r="AN86" s="1029"/>
      <c r="AO86" s="1029"/>
      <c r="AP86" s="1029"/>
      <c r="AQ86" s="1029"/>
      <c r="AR86" s="1029"/>
      <c r="AS86" s="1029"/>
      <c r="AT86" s="1029"/>
      <c r="AU86" s="1029"/>
      <c r="AV86" s="1029"/>
      <c r="AW86" s="1029"/>
      <c r="AX86" s="1029"/>
      <c r="AY86" s="1029"/>
      <c r="AZ86" s="1029"/>
      <c r="BA86" s="1029"/>
      <c r="BB86" s="1029"/>
      <c r="BC86" s="1029"/>
      <c r="BD86" s="1029"/>
      <c r="BE86" s="1029"/>
      <c r="BF86" s="1029"/>
      <c r="BG86" s="1029"/>
      <c r="BH86" s="1029"/>
      <c r="BI86" s="1029"/>
      <c r="BJ86" s="1029"/>
      <c r="BK86" s="1029"/>
      <c r="BL86" s="1029"/>
      <c r="BM86" s="1029"/>
      <c r="BN86" s="1029"/>
      <c r="BO86" s="1029"/>
      <c r="BP86" s="1029"/>
      <c r="BQ86" s="1029"/>
      <c r="BR86" s="1029"/>
      <c r="BS86" s="1029"/>
      <c r="BT86" s="1029"/>
      <c r="BU86" s="1029"/>
      <c r="BV86" s="1029"/>
    </row>
    <row r="87" spans="1:74" s="1030" customFormat="1" ht="122.25">
      <c r="A87" s="1012">
        <v>70</v>
      </c>
      <c r="B87" s="1036" t="s">
        <v>1146</v>
      </c>
      <c r="C87" s="1037">
        <v>53227</v>
      </c>
      <c r="D87" s="1029"/>
      <c r="E87" s="1029"/>
      <c r="F87" s="1029"/>
      <c r="G87" s="1029"/>
      <c r="H87" s="1029"/>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29"/>
      <c r="BA87" s="1029"/>
      <c r="BB87" s="1029"/>
      <c r="BC87" s="1029"/>
      <c r="BD87" s="1029"/>
      <c r="BE87" s="1029"/>
      <c r="BF87" s="1029"/>
      <c r="BG87" s="1029"/>
      <c r="BH87" s="1029"/>
      <c r="BI87" s="1029"/>
      <c r="BJ87" s="1029"/>
      <c r="BK87" s="1029"/>
      <c r="BL87" s="1029"/>
      <c r="BM87" s="1029"/>
      <c r="BN87" s="1029"/>
      <c r="BO87" s="1029"/>
      <c r="BP87" s="1029"/>
      <c r="BQ87" s="1029"/>
      <c r="BR87" s="1029"/>
      <c r="BS87" s="1029"/>
      <c r="BT87" s="1029"/>
      <c r="BU87" s="1029"/>
      <c r="BV87" s="1029"/>
    </row>
    <row r="88" spans="1:74" s="1030" customFormat="1" ht="60.75">
      <c r="A88" s="1012">
        <v>71</v>
      </c>
      <c r="B88" s="1034" t="s">
        <v>1853</v>
      </c>
      <c r="C88" s="1035">
        <f>SUM(C89:C96)</f>
        <v>2569338.6399999997</v>
      </c>
      <c r="D88" s="1029"/>
      <c r="E88" s="1029"/>
      <c r="F88" s="1029"/>
      <c r="G88" s="1029"/>
      <c r="H88" s="1029"/>
      <c r="I88" s="1029"/>
      <c r="J88" s="1029"/>
      <c r="K88" s="1029"/>
      <c r="L88" s="1029"/>
      <c r="M88" s="1029"/>
      <c r="N88" s="1029"/>
      <c r="O88" s="1029"/>
      <c r="P88" s="1029"/>
      <c r="Q88" s="1029"/>
      <c r="R88" s="1029"/>
      <c r="S88" s="1029"/>
      <c r="T88" s="1029"/>
      <c r="U88" s="1029"/>
      <c r="V88" s="1029"/>
      <c r="W88" s="1029"/>
      <c r="X88" s="1029"/>
      <c r="Y88" s="1029"/>
      <c r="Z88" s="1029"/>
      <c r="AA88" s="1029"/>
      <c r="AB88" s="1029"/>
      <c r="AC88" s="1029"/>
      <c r="AD88" s="1029"/>
      <c r="AE88" s="1029"/>
      <c r="AF88" s="1029"/>
      <c r="AG88" s="1029"/>
      <c r="AH88" s="1029"/>
      <c r="AI88" s="1029"/>
      <c r="AJ88" s="1029"/>
      <c r="AK88" s="1029"/>
      <c r="AL88" s="1029"/>
      <c r="AM88" s="1029"/>
      <c r="AN88" s="1029"/>
      <c r="AO88" s="1029"/>
      <c r="AP88" s="1029"/>
      <c r="AQ88" s="1029"/>
      <c r="AR88" s="1029"/>
      <c r="AS88" s="1029"/>
      <c r="AT88" s="1029"/>
      <c r="AU88" s="1029"/>
      <c r="AV88" s="1029"/>
      <c r="AW88" s="1029"/>
      <c r="AX88" s="1029"/>
      <c r="AY88" s="1029"/>
      <c r="AZ88" s="1029"/>
      <c r="BA88" s="1029"/>
      <c r="BB88" s="1029"/>
      <c r="BC88" s="1029"/>
      <c r="BD88" s="1029"/>
      <c r="BE88" s="1029"/>
      <c r="BF88" s="1029"/>
      <c r="BG88" s="1029"/>
      <c r="BH88" s="1029"/>
      <c r="BI88" s="1029"/>
      <c r="BJ88" s="1029"/>
      <c r="BK88" s="1029"/>
      <c r="BL88" s="1029"/>
      <c r="BM88" s="1029"/>
      <c r="BN88" s="1029"/>
      <c r="BO88" s="1029"/>
      <c r="BP88" s="1029"/>
      <c r="BQ88" s="1029"/>
      <c r="BR88" s="1029"/>
      <c r="BS88" s="1029"/>
      <c r="BT88" s="1029"/>
      <c r="BU88" s="1029"/>
      <c r="BV88" s="1029"/>
    </row>
    <row r="89" spans="1:74" s="1030" customFormat="1" ht="122.25">
      <c r="A89" s="1012">
        <v>72</v>
      </c>
      <c r="B89" s="1036" t="s">
        <v>1165</v>
      </c>
      <c r="C89" s="1035">
        <v>411760</v>
      </c>
      <c r="D89" s="1029"/>
      <c r="E89" s="1029"/>
      <c r="F89" s="1029"/>
      <c r="G89" s="1029"/>
      <c r="H89" s="1029"/>
      <c r="I89" s="1029"/>
      <c r="J89" s="1029"/>
      <c r="K89" s="1029"/>
      <c r="L89" s="1029"/>
      <c r="M89" s="1029"/>
      <c r="N89" s="1029"/>
      <c r="O89" s="1029"/>
      <c r="P89" s="1029"/>
      <c r="Q89" s="1029"/>
      <c r="R89" s="1029"/>
      <c r="S89" s="1029"/>
      <c r="T89" s="1029"/>
      <c r="U89" s="1029"/>
      <c r="V89" s="1029"/>
      <c r="W89" s="1029"/>
      <c r="X89" s="1029"/>
      <c r="Y89" s="1029"/>
      <c r="Z89" s="1029"/>
      <c r="AA89" s="1029"/>
      <c r="AB89" s="1029"/>
      <c r="AC89" s="1029"/>
      <c r="AD89" s="1029"/>
      <c r="AE89" s="1029"/>
      <c r="AF89" s="1029"/>
      <c r="AG89" s="1029"/>
      <c r="AH89" s="1029"/>
      <c r="AI89" s="1029"/>
      <c r="AJ89" s="1029"/>
      <c r="AK89" s="1029"/>
      <c r="AL89" s="1029"/>
      <c r="AM89" s="1029"/>
      <c r="AN89" s="1029"/>
      <c r="AO89" s="1029"/>
      <c r="AP89" s="1029"/>
      <c r="AQ89" s="1029"/>
      <c r="AR89" s="1029"/>
      <c r="AS89" s="1029"/>
      <c r="AT89" s="1029"/>
      <c r="AU89" s="1029"/>
      <c r="AV89" s="1029"/>
      <c r="AW89" s="1029"/>
      <c r="AX89" s="1029"/>
      <c r="AY89" s="1029"/>
      <c r="AZ89" s="1029"/>
      <c r="BA89" s="1029"/>
      <c r="BB89" s="1029"/>
      <c r="BC89" s="1029"/>
      <c r="BD89" s="1029"/>
      <c r="BE89" s="1029"/>
      <c r="BF89" s="1029"/>
      <c r="BG89" s="1029"/>
      <c r="BH89" s="1029"/>
      <c r="BI89" s="1029"/>
      <c r="BJ89" s="1029"/>
      <c r="BK89" s="1029"/>
      <c r="BL89" s="1029"/>
      <c r="BM89" s="1029"/>
      <c r="BN89" s="1029"/>
      <c r="BO89" s="1029"/>
      <c r="BP89" s="1029"/>
      <c r="BQ89" s="1029"/>
      <c r="BR89" s="1029"/>
      <c r="BS89" s="1029"/>
      <c r="BT89" s="1029"/>
      <c r="BU89" s="1029"/>
      <c r="BV89" s="1029"/>
    </row>
    <row r="90" spans="1:74" s="1030" customFormat="1" ht="153">
      <c r="A90" s="1012">
        <v>73</v>
      </c>
      <c r="B90" s="1036" t="s">
        <v>1898</v>
      </c>
      <c r="C90" s="1037">
        <v>54761</v>
      </c>
      <c r="D90" s="1029"/>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1029"/>
      <c r="AE90" s="1029"/>
      <c r="AF90" s="1029"/>
      <c r="AG90" s="1029"/>
      <c r="AH90" s="1029"/>
      <c r="AI90" s="1029"/>
      <c r="AJ90" s="1029"/>
      <c r="AK90" s="1029"/>
      <c r="AL90" s="1029"/>
      <c r="AM90" s="1029"/>
      <c r="AN90" s="1029"/>
      <c r="AO90" s="1029"/>
      <c r="AP90" s="1029"/>
      <c r="AQ90" s="1029"/>
      <c r="AR90" s="1029"/>
      <c r="AS90" s="1029"/>
      <c r="AT90" s="1029"/>
      <c r="AU90" s="1029"/>
      <c r="AV90" s="1029"/>
      <c r="AW90" s="1029"/>
      <c r="AX90" s="1029"/>
      <c r="AY90" s="1029"/>
      <c r="AZ90" s="1029"/>
      <c r="BA90" s="1029"/>
      <c r="BB90" s="1029"/>
      <c r="BC90" s="1029"/>
      <c r="BD90" s="1029"/>
      <c r="BE90" s="1029"/>
      <c r="BF90" s="1029"/>
      <c r="BG90" s="1029"/>
      <c r="BH90" s="1029"/>
      <c r="BI90" s="1029"/>
      <c r="BJ90" s="1029"/>
      <c r="BK90" s="1029"/>
      <c r="BL90" s="1029"/>
      <c r="BM90" s="1029"/>
      <c r="BN90" s="1029"/>
      <c r="BO90" s="1029"/>
      <c r="BP90" s="1029"/>
      <c r="BQ90" s="1029"/>
      <c r="BR90" s="1029"/>
      <c r="BS90" s="1029"/>
      <c r="BT90" s="1029"/>
      <c r="BU90" s="1029"/>
      <c r="BV90" s="1029"/>
    </row>
    <row r="91" spans="1:74" s="1030" customFormat="1" ht="122.25">
      <c r="A91" s="1012">
        <v>74</v>
      </c>
      <c r="B91" s="1036" t="s">
        <v>1150</v>
      </c>
      <c r="C91" s="1037">
        <f>590155+90541+291726.86</f>
        <v>972422.86</v>
      </c>
      <c r="D91" s="1029"/>
      <c r="E91" s="1029"/>
      <c r="F91" s="1029"/>
      <c r="G91" s="1029"/>
      <c r="H91" s="1029"/>
      <c r="I91" s="1029"/>
      <c r="J91" s="1029"/>
      <c r="K91" s="1029"/>
      <c r="L91" s="1029"/>
      <c r="M91" s="1029"/>
      <c r="N91" s="1029"/>
      <c r="O91" s="1029"/>
      <c r="P91" s="1029"/>
      <c r="Q91" s="1029"/>
      <c r="R91" s="1029"/>
      <c r="S91" s="1029"/>
      <c r="T91" s="1029"/>
      <c r="U91" s="1029"/>
      <c r="V91" s="1029"/>
      <c r="W91" s="1029"/>
      <c r="X91" s="1029"/>
      <c r="Y91" s="1029"/>
      <c r="Z91" s="1029"/>
      <c r="AA91" s="1029"/>
      <c r="AB91" s="1029"/>
      <c r="AC91" s="1029"/>
      <c r="AD91" s="1029"/>
      <c r="AE91" s="1029"/>
      <c r="AF91" s="1029"/>
      <c r="AG91" s="1029"/>
      <c r="AH91" s="1029"/>
      <c r="AI91" s="1029"/>
      <c r="AJ91" s="1029"/>
      <c r="AK91" s="1029"/>
      <c r="AL91" s="1029"/>
      <c r="AM91" s="1029"/>
      <c r="AN91" s="1029"/>
      <c r="AO91" s="1029"/>
      <c r="AP91" s="1029"/>
      <c r="AQ91" s="1029"/>
      <c r="AR91" s="1029"/>
      <c r="AS91" s="1029"/>
      <c r="AT91" s="1029"/>
      <c r="AU91" s="1029"/>
      <c r="AV91" s="1029"/>
      <c r="AW91" s="1029"/>
      <c r="AX91" s="1029"/>
      <c r="AY91" s="1029"/>
      <c r="AZ91" s="1029"/>
      <c r="BA91" s="1029"/>
      <c r="BB91" s="1029"/>
      <c r="BC91" s="1029"/>
      <c r="BD91" s="1029"/>
      <c r="BE91" s="1029"/>
      <c r="BF91" s="1029"/>
      <c r="BG91" s="1029"/>
      <c r="BH91" s="1029"/>
      <c r="BI91" s="1029"/>
      <c r="BJ91" s="1029"/>
      <c r="BK91" s="1029"/>
      <c r="BL91" s="1029"/>
      <c r="BM91" s="1029"/>
      <c r="BN91" s="1029"/>
      <c r="BO91" s="1029"/>
      <c r="BP91" s="1029"/>
      <c r="BQ91" s="1029"/>
      <c r="BR91" s="1029"/>
      <c r="BS91" s="1029"/>
      <c r="BT91" s="1029"/>
      <c r="BU91" s="1029"/>
      <c r="BV91" s="1029"/>
    </row>
    <row r="92" spans="1:74" s="1030" customFormat="1" ht="183">
      <c r="A92" s="1012">
        <v>75</v>
      </c>
      <c r="B92" s="1036" t="s">
        <v>1151</v>
      </c>
      <c r="C92" s="1037">
        <v>124825</v>
      </c>
      <c r="D92" s="1029"/>
      <c r="E92" s="1029"/>
      <c r="F92" s="1029"/>
      <c r="G92" s="1029"/>
      <c r="H92" s="1029"/>
      <c r="I92" s="1029"/>
      <c r="J92" s="1029"/>
      <c r="K92" s="1029"/>
      <c r="L92" s="1029"/>
      <c r="M92" s="1029"/>
      <c r="N92" s="1029"/>
      <c r="O92" s="1029"/>
      <c r="P92" s="1029"/>
      <c r="Q92" s="1029"/>
      <c r="R92" s="1029"/>
      <c r="S92" s="1029"/>
      <c r="T92" s="1029"/>
      <c r="U92" s="1029"/>
      <c r="V92" s="1029"/>
      <c r="W92" s="1029"/>
      <c r="X92" s="1029"/>
      <c r="Y92" s="1029"/>
      <c r="Z92" s="1029"/>
      <c r="AA92" s="1029"/>
      <c r="AB92" s="1029"/>
      <c r="AC92" s="1029"/>
      <c r="AD92" s="1029"/>
      <c r="AE92" s="1029"/>
      <c r="AF92" s="1029"/>
      <c r="AG92" s="1029"/>
      <c r="AH92" s="1029"/>
      <c r="AI92" s="1029"/>
      <c r="AJ92" s="1029"/>
      <c r="AK92" s="1029"/>
      <c r="AL92" s="1029"/>
      <c r="AM92" s="1029"/>
      <c r="AN92" s="1029"/>
      <c r="AO92" s="1029"/>
      <c r="AP92" s="1029"/>
      <c r="AQ92" s="1029"/>
      <c r="AR92" s="1029"/>
      <c r="AS92" s="1029"/>
      <c r="AT92" s="1029"/>
      <c r="AU92" s="1029"/>
      <c r="AV92" s="1029"/>
      <c r="AW92" s="1029"/>
      <c r="AX92" s="1029"/>
      <c r="AY92" s="1029"/>
      <c r="AZ92" s="1029"/>
      <c r="BA92" s="1029"/>
      <c r="BB92" s="1029"/>
      <c r="BC92" s="1029"/>
      <c r="BD92" s="1029"/>
      <c r="BE92" s="1029"/>
      <c r="BF92" s="1029"/>
      <c r="BG92" s="1029"/>
      <c r="BH92" s="1029"/>
      <c r="BI92" s="1029"/>
      <c r="BJ92" s="1029"/>
      <c r="BK92" s="1029"/>
      <c r="BL92" s="1029"/>
      <c r="BM92" s="1029"/>
      <c r="BN92" s="1029"/>
      <c r="BO92" s="1029"/>
      <c r="BP92" s="1029"/>
      <c r="BQ92" s="1029"/>
      <c r="BR92" s="1029"/>
      <c r="BS92" s="1029"/>
      <c r="BT92" s="1029"/>
      <c r="BU92" s="1029"/>
      <c r="BV92" s="1029"/>
    </row>
    <row r="93" spans="1:74" s="1030" customFormat="1" ht="30">
      <c r="A93" s="1012">
        <v>76</v>
      </c>
      <c r="B93" s="1036" t="s">
        <v>1153</v>
      </c>
      <c r="C93" s="1037">
        <v>255888.78</v>
      </c>
      <c r="D93" s="1029"/>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1029"/>
      <c r="AE93" s="1029"/>
      <c r="AF93" s="1029"/>
      <c r="AG93" s="1029"/>
      <c r="AH93" s="1029"/>
      <c r="AI93" s="1029"/>
      <c r="AJ93" s="1029"/>
      <c r="AK93" s="1029"/>
      <c r="AL93" s="1029"/>
      <c r="AM93" s="1029"/>
      <c r="AN93" s="1029"/>
      <c r="AO93" s="1029"/>
      <c r="AP93" s="1029"/>
      <c r="AQ93" s="1029"/>
      <c r="AR93" s="1029"/>
      <c r="AS93" s="1029"/>
      <c r="AT93" s="1029"/>
      <c r="AU93" s="1029"/>
      <c r="AV93" s="1029"/>
      <c r="AW93" s="1029"/>
      <c r="AX93" s="1029"/>
      <c r="AY93" s="1029"/>
      <c r="AZ93" s="1029"/>
      <c r="BA93" s="1029"/>
      <c r="BB93" s="1029"/>
      <c r="BC93" s="1029"/>
      <c r="BD93" s="1029"/>
      <c r="BE93" s="1029"/>
      <c r="BF93" s="1029"/>
      <c r="BG93" s="1029"/>
      <c r="BH93" s="1029"/>
      <c r="BI93" s="1029"/>
      <c r="BJ93" s="1029"/>
      <c r="BK93" s="1029"/>
      <c r="BL93" s="1029"/>
      <c r="BM93" s="1029"/>
      <c r="BN93" s="1029"/>
      <c r="BO93" s="1029"/>
      <c r="BP93" s="1029"/>
      <c r="BQ93" s="1029"/>
      <c r="BR93" s="1029"/>
      <c r="BS93" s="1029"/>
      <c r="BT93" s="1029"/>
      <c r="BU93" s="1029"/>
      <c r="BV93" s="1029"/>
    </row>
    <row r="94" spans="1:74" s="1030" customFormat="1" ht="30">
      <c r="A94" s="1012">
        <v>77</v>
      </c>
      <c r="B94" s="1036" t="s">
        <v>1155</v>
      </c>
      <c r="C94" s="1037">
        <v>149681</v>
      </c>
      <c r="D94" s="1029"/>
      <c r="E94" s="1029"/>
      <c r="F94" s="1029"/>
      <c r="G94" s="1029"/>
      <c r="H94" s="1029"/>
      <c r="I94" s="1029"/>
      <c r="J94" s="1029"/>
      <c r="K94" s="1029"/>
      <c r="L94" s="1029"/>
      <c r="M94" s="1029"/>
      <c r="N94" s="1029"/>
      <c r="O94" s="1029"/>
      <c r="P94" s="1029"/>
      <c r="Q94" s="1029"/>
      <c r="R94" s="1029"/>
      <c r="S94" s="1029"/>
      <c r="T94" s="1029"/>
      <c r="U94" s="1029"/>
      <c r="V94" s="1029"/>
      <c r="W94" s="1029"/>
      <c r="X94" s="1029"/>
      <c r="Y94" s="1029"/>
      <c r="Z94" s="1029"/>
      <c r="AA94" s="1029"/>
      <c r="AB94" s="1029"/>
      <c r="AC94" s="1029"/>
      <c r="AD94" s="1029"/>
      <c r="AE94" s="1029"/>
      <c r="AF94" s="1029"/>
      <c r="AG94" s="1029"/>
      <c r="AH94" s="1029"/>
      <c r="AI94" s="1029"/>
      <c r="AJ94" s="1029"/>
      <c r="AK94" s="1029"/>
      <c r="AL94" s="1029"/>
      <c r="AM94" s="1029"/>
      <c r="AN94" s="1029"/>
      <c r="AO94" s="1029"/>
      <c r="AP94" s="1029"/>
      <c r="AQ94" s="1029"/>
      <c r="AR94" s="1029"/>
      <c r="AS94" s="1029"/>
      <c r="AT94" s="1029"/>
      <c r="AU94" s="1029"/>
      <c r="AV94" s="1029"/>
      <c r="AW94" s="1029"/>
      <c r="AX94" s="1029"/>
      <c r="AY94" s="1029"/>
      <c r="AZ94" s="1029"/>
      <c r="BA94" s="1029"/>
      <c r="BB94" s="1029"/>
      <c r="BC94" s="1029"/>
      <c r="BD94" s="1029"/>
      <c r="BE94" s="1029"/>
      <c r="BF94" s="1029"/>
      <c r="BG94" s="1029"/>
      <c r="BH94" s="1029"/>
      <c r="BI94" s="1029"/>
      <c r="BJ94" s="1029"/>
      <c r="BK94" s="1029"/>
      <c r="BL94" s="1029"/>
      <c r="BM94" s="1029"/>
      <c r="BN94" s="1029"/>
      <c r="BO94" s="1029"/>
      <c r="BP94" s="1029"/>
      <c r="BQ94" s="1029"/>
      <c r="BR94" s="1029"/>
      <c r="BS94" s="1029"/>
      <c r="BT94" s="1029"/>
      <c r="BU94" s="1029"/>
      <c r="BV94" s="1029"/>
    </row>
    <row r="95" spans="1:74" s="1030" customFormat="1" ht="122.25">
      <c r="A95" s="1012">
        <v>78</v>
      </c>
      <c r="B95" s="1036" t="s">
        <v>1154</v>
      </c>
      <c r="C95" s="1037">
        <v>300000</v>
      </c>
      <c r="D95" s="1029"/>
      <c r="E95" s="1029"/>
      <c r="F95" s="1029"/>
      <c r="G95" s="1029"/>
      <c r="H95" s="1029"/>
      <c r="I95" s="1029"/>
      <c r="J95" s="1029"/>
      <c r="K95" s="1029"/>
      <c r="L95" s="1029"/>
      <c r="M95" s="1029"/>
      <c r="N95" s="1029"/>
      <c r="O95" s="1029"/>
      <c r="P95" s="1029"/>
      <c r="Q95" s="1029"/>
      <c r="R95" s="1029"/>
      <c r="S95" s="1029"/>
      <c r="T95" s="1029"/>
      <c r="U95" s="1029"/>
      <c r="V95" s="1029"/>
      <c r="W95" s="1029"/>
      <c r="X95" s="1029"/>
      <c r="Y95" s="1029"/>
      <c r="Z95" s="1029"/>
      <c r="AA95" s="1029"/>
      <c r="AB95" s="1029"/>
      <c r="AC95" s="1029"/>
      <c r="AD95" s="1029"/>
      <c r="AE95" s="1029"/>
      <c r="AF95" s="1029"/>
      <c r="AG95" s="1029"/>
      <c r="AH95" s="1029"/>
      <c r="AI95" s="1029"/>
      <c r="AJ95" s="1029"/>
      <c r="AK95" s="1029"/>
      <c r="AL95" s="1029"/>
      <c r="AM95" s="1029"/>
      <c r="AN95" s="1029"/>
      <c r="AO95" s="1029"/>
      <c r="AP95" s="1029"/>
      <c r="AQ95" s="1029"/>
      <c r="AR95" s="1029"/>
      <c r="AS95" s="1029"/>
      <c r="AT95" s="1029"/>
      <c r="AU95" s="1029"/>
      <c r="AV95" s="1029"/>
      <c r="AW95" s="1029"/>
      <c r="AX95" s="1029"/>
      <c r="AY95" s="1029"/>
      <c r="AZ95" s="1029"/>
      <c r="BA95" s="1029"/>
      <c r="BB95" s="1029"/>
      <c r="BC95" s="1029"/>
      <c r="BD95" s="1029"/>
      <c r="BE95" s="1029"/>
      <c r="BF95" s="1029"/>
      <c r="BG95" s="1029"/>
      <c r="BH95" s="1029"/>
      <c r="BI95" s="1029"/>
      <c r="BJ95" s="1029"/>
      <c r="BK95" s="1029"/>
      <c r="BL95" s="1029"/>
      <c r="BM95" s="1029"/>
      <c r="BN95" s="1029"/>
      <c r="BO95" s="1029"/>
      <c r="BP95" s="1029"/>
      <c r="BQ95" s="1029"/>
      <c r="BR95" s="1029"/>
      <c r="BS95" s="1029"/>
      <c r="BT95" s="1029"/>
      <c r="BU95" s="1029"/>
      <c r="BV95" s="1029"/>
    </row>
    <row r="96" spans="1:74" s="1030" customFormat="1" ht="122.25">
      <c r="A96" s="1012">
        <v>79</v>
      </c>
      <c r="B96" s="1036" t="s">
        <v>1177</v>
      </c>
      <c r="C96" s="1037">
        <v>300000</v>
      </c>
      <c r="D96" s="1029"/>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1029"/>
      <c r="AE96" s="1029"/>
      <c r="AF96" s="1029"/>
      <c r="AG96" s="1029"/>
      <c r="AH96" s="1029"/>
      <c r="AI96" s="1029"/>
      <c r="AJ96" s="1029"/>
      <c r="AK96" s="1029"/>
      <c r="AL96" s="1029"/>
      <c r="AM96" s="1029"/>
      <c r="AN96" s="1029"/>
      <c r="AO96" s="1029"/>
      <c r="AP96" s="1029"/>
      <c r="AQ96" s="1029"/>
      <c r="AR96" s="1029"/>
      <c r="AS96" s="1029"/>
      <c r="AT96" s="1029"/>
      <c r="AU96" s="1029"/>
      <c r="AV96" s="1029"/>
      <c r="AW96" s="1029"/>
      <c r="AX96" s="1029"/>
      <c r="AY96" s="1029"/>
      <c r="AZ96" s="1029"/>
      <c r="BA96" s="1029"/>
      <c r="BB96" s="1029"/>
      <c r="BC96" s="1029"/>
      <c r="BD96" s="1029"/>
      <c r="BE96" s="1029"/>
      <c r="BF96" s="1029"/>
      <c r="BG96" s="1029"/>
      <c r="BH96" s="1029"/>
      <c r="BI96" s="1029"/>
      <c r="BJ96" s="1029"/>
      <c r="BK96" s="1029"/>
      <c r="BL96" s="1029"/>
      <c r="BM96" s="1029"/>
      <c r="BN96" s="1029"/>
      <c r="BO96" s="1029"/>
      <c r="BP96" s="1029"/>
      <c r="BQ96" s="1029"/>
      <c r="BR96" s="1029"/>
      <c r="BS96" s="1029"/>
      <c r="BT96" s="1029"/>
      <c r="BU96" s="1029"/>
      <c r="BV96" s="1029"/>
    </row>
    <row r="97" spans="1:74" s="1030" customFormat="1" ht="60.75">
      <c r="A97" s="1012">
        <v>80</v>
      </c>
      <c r="B97" s="1034" t="s">
        <v>1859</v>
      </c>
      <c r="C97" s="1035">
        <f>C98</f>
        <v>500000</v>
      </c>
      <c r="D97" s="1029"/>
      <c r="E97" s="1029"/>
      <c r="F97" s="1029"/>
      <c r="G97" s="1029"/>
      <c r="H97" s="1029"/>
      <c r="I97" s="1029"/>
      <c r="J97" s="1029"/>
      <c r="K97" s="1029"/>
      <c r="L97" s="1029"/>
      <c r="M97" s="1029"/>
      <c r="N97" s="1029"/>
      <c r="O97" s="1029"/>
      <c r="P97" s="1029"/>
      <c r="Q97" s="1029"/>
      <c r="R97" s="1029"/>
      <c r="S97" s="1029"/>
      <c r="T97" s="1029"/>
      <c r="U97" s="1029"/>
      <c r="V97" s="1029"/>
      <c r="W97" s="1029"/>
      <c r="X97" s="1029"/>
      <c r="Y97" s="1029"/>
      <c r="Z97" s="1029"/>
      <c r="AA97" s="1029"/>
      <c r="AB97" s="1029"/>
      <c r="AC97" s="1029"/>
      <c r="AD97" s="1029"/>
      <c r="AE97" s="1029"/>
      <c r="AF97" s="1029"/>
      <c r="AG97" s="1029"/>
      <c r="AH97" s="1029"/>
      <c r="AI97" s="1029"/>
      <c r="AJ97" s="1029"/>
      <c r="AK97" s="1029"/>
      <c r="AL97" s="1029"/>
      <c r="AM97" s="1029"/>
      <c r="AN97" s="1029"/>
      <c r="AO97" s="1029"/>
      <c r="AP97" s="1029"/>
      <c r="AQ97" s="1029"/>
      <c r="AR97" s="1029"/>
      <c r="AS97" s="1029"/>
      <c r="AT97" s="1029"/>
      <c r="AU97" s="1029"/>
      <c r="AV97" s="1029"/>
      <c r="AW97" s="1029"/>
      <c r="AX97" s="1029"/>
      <c r="AY97" s="1029"/>
      <c r="AZ97" s="1029"/>
      <c r="BA97" s="1029"/>
      <c r="BB97" s="1029"/>
      <c r="BC97" s="1029"/>
      <c r="BD97" s="1029"/>
      <c r="BE97" s="1029"/>
      <c r="BF97" s="1029"/>
      <c r="BG97" s="1029"/>
      <c r="BH97" s="1029"/>
      <c r="BI97" s="1029"/>
      <c r="BJ97" s="1029"/>
      <c r="BK97" s="1029"/>
      <c r="BL97" s="1029"/>
      <c r="BM97" s="1029"/>
      <c r="BN97" s="1029"/>
      <c r="BO97" s="1029"/>
      <c r="BP97" s="1029"/>
      <c r="BQ97" s="1029"/>
      <c r="BR97" s="1029"/>
      <c r="BS97" s="1029"/>
      <c r="BT97" s="1029"/>
      <c r="BU97" s="1029"/>
      <c r="BV97" s="1029"/>
    </row>
    <row r="98" spans="1:74" s="1030" customFormat="1" ht="91.5">
      <c r="A98" s="1012">
        <v>81</v>
      </c>
      <c r="B98" s="1036" t="s">
        <v>1178</v>
      </c>
      <c r="C98" s="1037">
        <v>500000</v>
      </c>
      <c r="D98" s="1029"/>
      <c r="E98" s="1029"/>
      <c r="F98" s="1029"/>
      <c r="G98" s="1029"/>
      <c r="H98" s="1029"/>
      <c r="I98" s="1029"/>
      <c r="J98" s="1029"/>
      <c r="K98" s="1029"/>
      <c r="L98" s="1029"/>
      <c r="M98" s="1029"/>
      <c r="N98" s="1029"/>
      <c r="O98" s="1029"/>
      <c r="P98" s="1029"/>
      <c r="Q98" s="1029"/>
      <c r="R98" s="1029"/>
      <c r="S98" s="1029"/>
      <c r="T98" s="1029"/>
      <c r="U98" s="1029"/>
      <c r="V98" s="1029"/>
      <c r="W98" s="1029"/>
      <c r="X98" s="1029"/>
      <c r="Y98" s="1029"/>
      <c r="Z98" s="1029"/>
      <c r="AA98" s="1029"/>
      <c r="AB98" s="1029"/>
      <c r="AC98" s="1029"/>
      <c r="AD98" s="1029"/>
      <c r="AE98" s="1029"/>
      <c r="AF98" s="1029"/>
      <c r="AG98" s="1029"/>
      <c r="AH98" s="1029"/>
      <c r="AI98" s="1029"/>
      <c r="AJ98" s="1029"/>
      <c r="AK98" s="1029"/>
      <c r="AL98" s="1029"/>
      <c r="AM98" s="1029"/>
      <c r="AN98" s="1029"/>
      <c r="AO98" s="1029"/>
      <c r="AP98" s="1029"/>
      <c r="AQ98" s="1029"/>
      <c r="AR98" s="1029"/>
      <c r="AS98" s="1029"/>
      <c r="AT98" s="1029"/>
      <c r="AU98" s="1029"/>
      <c r="AV98" s="1029"/>
      <c r="AW98" s="1029"/>
      <c r="AX98" s="1029"/>
      <c r="AY98" s="1029"/>
      <c r="AZ98" s="1029"/>
      <c r="BA98" s="1029"/>
      <c r="BB98" s="1029"/>
      <c r="BC98" s="1029"/>
      <c r="BD98" s="1029"/>
      <c r="BE98" s="1029"/>
      <c r="BF98" s="1029"/>
      <c r="BG98" s="1029"/>
      <c r="BH98" s="1029"/>
      <c r="BI98" s="1029"/>
      <c r="BJ98" s="1029"/>
      <c r="BK98" s="1029"/>
      <c r="BL98" s="1029"/>
      <c r="BM98" s="1029"/>
      <c r="BN98" s="1029"/>
      <c r="BO98" s="1029"/>
      <c r="BP98" s="1029"/>
      <c r="BQ98" s="1029"/>
      <c r="BR98" s="1029"/>
      <c r="BS98" s="1029"/>
      <c r="BT98" s="1029"/>
      <c r="BU98" s="1029"/>
      <c r="BV98" s="1029"/>
    </row>
    <row r="99" spans="1:74" s="1030" customFormat="1" ht="30">
      <c r="A99" s="1012">
        <v>82</v>
      </c>
      <c r="B99" s="1034" t="s">
        <v>1899</v>
      </c>
      <c r="C99" s="1035">
        <f>SUM(C100:C100)</f>
        <v>7500000</v>
      </c>
      <c r="D99" s="1029"/>
      <c r="E99" s="1029"/>
      <c r="F99" s="1029"/>
      <c r="G99" s="1029"/>
      <c r="H99" s="1029"/>
      <c r="I99" s="1029"/>
      <c r="J99" s="1029"/>
      <c r="K99" s="1029"/>
      <c r="L99" s="1029"/>
      <c r="M99" s="1029"/>
      <c r="N99" s="1029"/>
      <c r="O99" s="1029"/>
      <c r="P99" s="1029"/>
      <c r="Q99" s="1029"/>
      <c r="R99" s="1029"/>
      <c r="S99" s="1029"/>
      <c r="T99" s="1029"/>
      <c r="U99" s="1029"/>
      <c r="V99" s="1029"/>
      <c r="W99" s="1029"/>
      <c r="X99" s="1029"/>
      <c r="Y99" s="1029"/>
      <c r="Z99" s="1029"/>
      <c r="AA99" s="1029"/>
      <c r="AB99" s="1029"/>
      <c r="AC99" s="1029"/>
      <c r="AD99" s="1029"/>
      <c r="AE99" s="1029"/>
      <c r="AF99" s="1029"/>
      <c r="AG99" s="1029"/>
      <c r="AH99" s="1029"/>
      <c r="AI99" s="1029"/>
      <c r="AJ99" s="1029"/>
      <c r="AK99" s="1029"/>
      <c r="AL99" s="1029"/>
      <c r="AM99" s="1029"/>
      <c r="AN99" s="1029"/>
      <c r="AO99" s="1029"/>
      <c r="AP99" s="1029"/>
      <c r="AQ99" s="1029"/>
      <c r="AR99" s="1029"/>
      <c r="AS99" s="1029"/>
      <c r="AT99" s="1029"/>
      <c r="AU99" s="1029"/>
      <c r="AV99" s="1029"/>
      <c r="AW99" s="1029"/>
      <c r="AX99" s="1029"/>
      <c r="AY99" s="1029"/>
      <c r="AZ99" s="1029"/>
      <c r="BA99" s="1029"/>
      <c r="BB99" s="1029"/>
      <c r="BC99" s="1029"/>
      <c r="BD99" s="1029"/>
      <c r="BE99" s="1029"/>
      <c r="BF99" s="1029"/>
      <c r="BG99" s="1029"/>
      <c r="BH99" s="1029"/>
      <c r="BI99" s="1029"/>
      <c r="BJ99" s="1029"/>
      <c r="BK99" s="1029"/>
      <c r="BL99" s="1029"/>
      <c r="BM99" s="1029"/>
      <c r="BN99" s="1029"/>
      <c r="BO99" s="1029"/>
      <c r="BP99" s="1029"/>
      <c r="BQ99" s="1029"/>
      <c r="BR99" s="1029"/>
      <c r="BS99" s="1029"/>
      <c r="BT99" s="1029"/>
      <c r="BU99" s="1029"/>
      <c r="BV99" s="1029"/>
    </row>
    <row r="100" spans="1:74" s="1030" customFormat="1" ht="60.75">
      <c r="A100" s="1012">
        <v>83</v>
      </c>
      <c r="B100" s="1036" t="s">
        <v>1190</v>
      </c>
      <c r="C100" s="1037">
        <v>7500000</v>
      </c>
      <c r="D100" s="1029"/>
      <c r="E100" s="1029"/>
      <c r="F100" s="1029"/>
      <c r="G100" s="1029"/>
      <c r="H100" s="1029"/>
      <c r="I100" s="1029"/>
      <c r="J100" s="1029"/>
      <c r="K100" s="1029"/>
      <c r="L100" s="1029"/>
      <c r="M100" s="1029"/>
      <c r="N100" s="1029"/>
      <c r="O100" s="1029"/>
      <c r="P100" s="1029"/>
      <c r="Q100" s="1029"/>
      <c r="R100" s="1029"/>
      <c r="S100" s="1029"/>
      <c r="T100" s="1029"/>
      <c r="U100" s="1029"/>
      <c r="V100" s="1029"/>
      <c r="W100" s="1029"/>
      <c r="X100" s="1029"/>
      <c r="Y100" s="1029"/>
      <c r="Z100" s="1029"/>
      <c r="AA100" s="1029"/>
      <c r="AB100" s="1029"/>
      <c r="AC100" s="1029"/>
      <c r="AD100" s="1029"/>
      <c r="AE100" s="1029"/>
      <c r="AF100" s="1029"/>
      <c r="AG100" s="1029"/>
      <c r="AH100" s="1029"/>
      <c r="AI100" s="1029"/>
      <c r="AJ100" s="1029"/>
      <c r="AK100" s="1029"/>
      <c r="AL100" s="1029"/>
      <c r="AM100" s="1029"/>
      <c r="AN100" s="1029"/>
      <c r="AO100" s="1029"/>
      <c r="AP100" s="1029"/>
      <c r="AQ100" s="1029"/>
      <c r="AR100" s="1029"/>
      <c r="AS100" s="1029"/>
      <c r="AT100" s="1029"/>
      <c r="AU100" s="1029"/>
      <c r="AV100" s="1029"/>
      <c r="AW100" s="1029"/>
      <c r="AX100" s="1029"/>
      <c r="AY100" s="1029"/>
      <c r="AZ100" s="1029"/>
      <c r="BA100" s="1029"/>
      <c r="BB100" s="1029"/>
      <c r="BC100" s="1029"/>
      <c r="BD100" s="1029"/>
      <c r="BE100" s="1029"/>
      <c r="BF100" s="1029"/>
      <c r="BG100" s="1029"/>
      <c r="BH100" s="1029"/>
      <c r="BI100" s="1029"/>
      <c r="BJ100" s="1029"/>
      <c r="BK100" s="1029"/>
      <c r="BL100" s="1029"/>
      <c r="BM100" s="1029"/>
      <c r="BN100" s="1029"/>
      <c r="BO100" s="1029"/>
      <c r="BP100" s="1029"/>
      <c r="BQ100" s="1029"/>
      <c r="BR100" s="1029"/>
      <c r="BS100" s="1029"/>
      <c r="BT100" s="1029"/>
      <c r="BU100" s="1029"/>
      <c r="BV100" s="1029"/>
    </row>
    <row r="101" spans="1:74" s="1030" customFormat="1" ht="30">
      <c r="A101" s="1012">
        <v>84</v>
      </c>
      <c r="B101" s="1034" t="s">
        <v>1900</v>
      </c>
      <c r="C101" s="1035">
        <f>SUM(C102:C110)</f>
        <v>1549991.58</v>
      </c>
      <c r="D101" s="1029"/>
      <c r="E101" s="1029"/>
      <c r="F101" s="1029"/>
      <c r="G101" s="1029"/>
      <c r="H101" s="1029"/>
      <c r="I101" s="1029"/>
      <c r="J101" s="1029"/>
      <c r="K101" s="1029"/>
      <c r="L101" s="1029"/>
      <c r="M101" s="1029"/>
      <c r="N101" s="1029"/>
      <c r="O101" s="1029"/>
      <c r="P101" s="1029"/>
      <c r="Q101" s="1029"/>
      <c r="R101" s="1029"/>
      <c r="S101" s="1029"/>
      <c r="T101" s="1029"/>
      <c r="U101" s="1029"/>
      <c r="V101" s="1029"/>
      <c r="W101" s="1029"/>
      <c r="X101" s="1029"/>
      <c r="Y101" s="1029"/>
      <c r="Z101" s="1029"/>
      <c r="AA101" s="1029"/>
      <c r="AB101" s="1029"/>
      <c r="AC101" s="1029"/>
      <c r="AD101" s="1029"/>
      <c r="AE101" s="1029"/>
      <c r="AF101" s="1029"/>
      <c r="AG101" s="1029"/>
      <c r="AH101" s="1029"/>
      <c r="AI101" s="1029"/>
      <c r="AJ101" s="1029"/>
      <c r="AK101" s="1029"/>
      <c r="AL101" s="1029"/>
      <c r="AM101" s="1029"/>
      <c r="AN101" s="1029"/>
      <c r="AO101" s="1029"/>
      <c r="AP101" s="1029"/>
      <c r="AQ101" s="1029"/>
      <c r="AR101" s="1029"/>
      <c r="AS101" s="1029"/>
      <c r="AT101" s="1029"/>
      <c r="AU101" s="1029"/>
      <c r="AV101" s="1029"/>
      <c r="AW101" s="1029"/>
      <c r="AX101" s="1029"/>
      <c r="AY101" s="1029"/>
      <c r="AZ101" s="1029"/>
      <c r="BA101" s="1029"/>
      <c r="BB101" s="1029"/>
      <c r="BC101" s="1029"/>
      <c r="BD101" s="1029"/>
      <c r="BE101" s="1029"/>
      <c r="BF101" s="1029"/>
      <c r="BG101" s="1029"/>
      <c r="BH101" s="1029"/>
      <c r="BI101" s="1029"/>
      <c r="BJ101" s="1029"/>
      <c r="BK101" s="1029"/>
      <c r="BL101" s="1029"/>
      <c r="BM101" s="1029"/>
      <c r="BN101" s="1029"/>
      <c r="BO101" s="1029"/>
      <c r="BP101" s="1029"/>
      <c r="BQ101" s="1029"/>
      <c r="BR101" s="1029"/>
      <c r="BS101" s="1029"/>
      <c r="BT101" s="1029"/>
      <c r="BU101" s="1029"/>
      <c r="BV101" s="1029"/>
    </row>
    <row r="102" spans="1:74" s="1046" customFormat="1" ht="30">
      <c r="A102" s="1012">
        <v>85</v>
      </c>
      <c r="B102" s="1036" t="s">
        <v>1287</v>
      </c>
      <c r="C102" s="1037">
        <v>179649.6</v>
      </c>
      <c r="D102" s="1045"/>
      <c r="E102" s="1045"/>
      <c r="F102" s="1045"/>
      <c r="G102" s="1045"/>
      <c r="H102" s="1045"/>
      <c r="I102" s="1045"/>
      <c r="J102" s="1045"/>
      <c r="K102" s="1045"/>
      <c r="L102" s="1045"/>
      <c r="M102" s="1045"/>
      <c r="N102" s="1045"/>
      <c r="O102" s="1045"/>
      <c r="P102" s="1045"/>
      <c r="Q102" s="1045"/>
      <c r="R102" s="1045"/>
      <c r="S102" s="1045"/>
      <c r="T102" s="1045"/>
      <c r="U102" s="1045"/>
      <c r="V102" s="1045"/>
      <c r="W102" s="1045"/>
      <c r="X102" s="1045"/>
      <c r="Y102" s="1045"/>
      <c r="Z102" s="1045"/>
      <c r="AA102" s="1045"/>
      <c r="AB102" s="1045"/>
      <c r="AC102" s="1045"/>
      <c r="AD102" s="1045"/>
      <c r="AE102" s="1045"/>
      <c r="AF102" s="1045"/>
      <c r="AG102" s="1045"/>
      <c r="AH102" s="1045"/>
      <c r="AI102" s="1045"/>
      <c r="AJ102" s="1045"/>
      <c r="AK102" s="1045"/>
      <c r="AL102" s="1045"/>
      <c r="AM102" s="1045"/>
      <c r="AN102" s="1045"/>
      <c r="AO102" s="1045"/>
      <c r="AP102" s="1045"/>
      <c r="AQ102" s="1045"/>
      <c r="AR102" s="1045"/>
      <c r="AS102" s="1045"/>
      <c r="AT102" s="1045"/>
      <c r="AU102" s="1045"/>
      <c r="AV102" s="1045"/>
      <c r="AW102" s="1045"/>
      <c r="AX102" s="1045"/>
      <c r="AY102" s="1045"/>
      <c r="AZ102" s="1045"/>
      <c r="BA102" s="1045"/>
      <c r="BB102" s="1045"/>
      <c r="BC102" s="1045"/>
      <c r="BD102" s="1045"/>
      <c r="BE102" s="1045"/>
      <c r="BF102" s="1045"/>
      <c r="BG102" s="1045"/>
      <c r="BH102" s="1045"/>
      <c r="BI102" s="1045"/>
      <c r="BJ102" s="1045"/>
      <c r="BK102" s="1045"/>
      <c r="BL102" s="1045"/>
      <c r="BM102" s="1045"/>
      <c r="BN102" s="1045"/>
      <c r="BO102" s="1045"/>
      <c r="BP102" s="1045"/>
      <c r="BQ102" s="1045"/>
      <c r="BR102" s="1045"/>
      <c r="BS102" s="1045"/>
      <c r="BT102" s="1045"/>
      <c r="BU102" s="1045"/>
      <c r="BV102" s="1045"/>
    </row>
    <row r="103" spans="1:74" s="1046" customFormat="1" ht="30">
      <c r="A103" s="1012">
        <v>86</v>
      </c>
      <c r="B103" s="1036" t="s">
        <v>1289</v>
      </c>
      <c r="C103" s="1037">
        <v>82878.95</v>
      </c>
      <c r="D103" s="1045"/>
      <c r="E103" s="1045"/>
      <c r="F103" s="1045"/>
      <c r="G103" s="1045"/>
      <c r="H103" s="1045"/>
      <c r="I103" s="1045"/>
      <c r="J103" s="1045"/>
      <c r="K103" s="1045"/>
      <c r="L103" s="1045"/>
      <c r="M103" s="1045"/>
      <c r="N103" s="1045"/>
      <c r="O103" s="1045"/>
      <c r="P103" s="1045"/>
      <c r="Q103" s="1045"/>
      <c r="R103" s="1045"/>
      <c r="S103" s="1045"/>
      <c r="T103" s="1045"/>
      <c r="U103" s="1045"/>
      <c r="V103" s="1045"/>
      <c r="W103" s="1045"/>
      <c r="X103" s="1045"/>
      <c r="Y103" s="1045"/>
      <c r="Z103" s="1045"/>
      <c r="AA103" s="1045"/>
      <c r="AB103" s="1045"/>
      <c r="AC103" s="1045"/>
      <c r="AD103" s="1045"/>
      <c r="AE103" s="1045"/>
      <c r="AF103" s="1045"/>
      <c r="AG103" s="1045"/>
      <c r="AH103" s="1045"/>
      <c r="AI103" s="1045"/>
      <c r="AJ103" s="1045"/>
      <c r="AK103" s="1045"/>
      <c r="AL103" s="1045"/>
      <c r="AM103" s="1045"/>
      <c r="AN103" s="1045"/>
      <c r="AO103" s="1045"/>
      <c r="AP103" s="1045"/>
      <c r="AQ103" s="1045"/>
      <c r="AR103" s="1045"/>
      <c r="AS103" s="1045"/>
      <c r="AT103" s="1045"/>
      <c r="AU103" s="1045"/>
      <c r="AV103" s="1045"/>
      <c r="AW103" s="1045"/>
      <c r="AX103" s="1045"/>
      <c r="AY103" s="1045"/>
      <c r="AZ103" s="1045"/>
      <c r="BA103" s="1045"/>
      <c r="BB103" s="1045"/>
      <c r="BC103" s="1045"/>
      <c r="BD103" s="1045"/>
      <c r="BE103" s="1045"/>
      <c r="BF103" s="1045"/>
      <c r="BG103" s="1045"/>
      <c r="BH103" s="1045"/>
      <c r="BI103" s="1045"/>
      <c r="BJ103" s="1045"/>
      <c r="BK103" s="1045"/>
      <c r="BL103" s="1045"/>
      <c r="BM103" s="1045"/>
      <c r="BN103" s="1045"/>
      <c r="BO103" s="1045"/>
      <c r="BP103" s="1045"/>
      <c r="BQ103" s="1045"/>
      <c r="BR103" s="1045"/>
      <c r="BS103" s="1045"/>
      <c r="BT103" s="1045"/>
      <c r="BU103" s="1045"/>
      <c r="BV103" s="1045"/>
    </row>
    <row r="104" spans="1:74" s="1046" customFormat="1" ht="30">
      <c r="A104" s="1012">
        <v>87</v>
      </c>
      <c r="B104" s="1036" t="s">
        <v>1276</v>
      </c>
      <c r="C104" s="1037">
        <v>64110.53</v>
      </c>
      <c r="D104" s="1045"/>
      <c r="E104" s="1045"/>
      <c r="F104" s="1045"/>
      <c r="G104" s="1045"/>
      <c r="H104" s="1045"/>
      <c r="I104" s="1045"/>
      <c r="J104" s="1045"/>
      <c r="K104" s="1045"/>
      <c r="L104" s="1045"/>
      <c r="M104" s="1045"/>
      <c r="N104" s="1045"/>
      <c r="O104" s="1045"/>
      <c r="P104" s="1045"/>
      <c r="Q104" s="1045"/>
      <c r="R104" s="1045"/>
      <c r="S104" s="1045"/>
      <c r="T104" s="1045"/>
      <c r="U104" s="1045"/>
      <c r="V104" s="1045"/>
      <c r="W104" s="1045"/>
      <c r="X104" s="1045"/>
      <c r="Y104" s="1045"/>
      <c r="Z104" s="1045"/>
      <c r="AA104" s="1045"/>
      <c r="AB104" s="1045"/>
      <c r="AC104" s="1045"/>
      <c r="AD104" s="1045"/>
      <c r="AE104" s="1045"/>
      <c r="AF104" s="1045"/>
      <c r="AG104" s="1045"/>
      <c r="AH104" s="1045"/>
      <c r="AI104" s="1045"/>
      <c r="AJ104" s="1045"/>
      <c r="AK104" s="1045"/>
      <c r="AL104" s="1045"/>
      <c r="AM104" s="1045"/>
      <c r="AN104" s="1045"/>
      <c r="AO104" s="1045"/>
      <c r="AP104" s="1045"/>
      <c r="AQ104" s="1045"/>
      <c r="AR104" s="1045"/>
      <c r="AS104" s="1045"/>
      <c r="AT104" s="1045"/>
      <c r="AU104" s="1045"/>
      <c r="AV104" s="1045"/>
      <c r="AW104" s="1045"/>
      <c r="AX104" s="1045"/>
      <c r="AY104" s="1045"/>
      <c r="AZ104" s="1045"/>
      <c r="BA104" s="1045"/>
      <c r="BB104" s="1045"/>
      <c r="BC104" s="1045"/>
      <c r="BD104" s="1045"/>
      <c r="BE104" s="1045"/>
      <c r="BF104" s="1045"/>
      <c r="BG104" s="1045"/>
      <c r="BH104" s="1045"/>
      <c r="BI104" s="1045"/>
      <c r="BJ104" s="1045"/>
      <c r="BK104" s="1045"/>
      <c r="BL104" s="1045"/>
      <c r="BM104" s="1045"/>
      <c r="BN104" s="1045"/>
      <c r="BO104" s="1045"/>
      <c r="BP104" s="1045"/>
      <c r="BQ104" s="1045"/>
      <c r="BR104" s="1045"/>
      <c r="BS104" s="1045"/>
      <c r="BT104" s="1045"/>
      <c r="BU104" s="1045"/>
      <c r="BV104" s="1045"/>
    </row>
    <row r="105" spans="1:74" s="1046" customFormat="1" ht="30">
      <c r="A105" s="1012">
        <v>88</v>
      </c>
      <c r="B105" s="1036" t="s">
        <v>1320</v>
      </c>
      <c r="C105" s="1037">
        <v>400000</v>
      </c>
      <c r="D105" s="1045"/>
      <c r="E105" s="1045"/>
      <c r="F105" s="1045"/>
      <c r="G105" s="1045"/>
      <c r="H105" s="1045"/>
      <c r="I105" s="1045"/>
      <c r="J105" s="1045"/>
      <c r="K105" s="1045"/>
      <c r="L105" s="1045"/>
      <c r="M105" s="1045"/>
      <c r="N105" s="1045"/>
      <c r="O105" s="1045"/>
      <c r="P105" s="1045"/>
      <c r="Q105" s="1045"/>
      <c r="R105" s="1045"/>
      <c r="S105" s="1045"/>
      <c r="T105" s="1045"/>
      <c r="U105" s="1045"/>
      <c r="V105" s="1045"/>
      <c r="W105" s="1045"/>
      <c r="X105" s="1045"/>
      <c r="Y105" s="1045"/>
      <c r="Z105" s="1045"/>
      <c r="AA105" s="1045"/>
      <c r="AB105" s="1045"/>
      <c r="AC105" s="1045"/>
      <c r="AD105" s="1045"/>
      <c r="AE105" s="1045"/>
      <c r="AF105" s="1045"/>
      <c r="AG105" s="1045"/>
      <c r="AH105" s="1045"/>
      <c r="AI105" s="1045"/>
      <c r="AJ105" s="1045"/>
      <c r="AK105" s="1045"/>
      <c r="AL105" s="1045"/>
      <c r="AM105" s="1045"/>
      <c r="AN105" s="1045"/>
      <c r="AO105" s="1045"/>
      <c r="AP105" s="1045"/>
      <c r="AQ105" s="1045"/>
      <c r="AR105" s="1045"/>
      <c r="AS105" s="1045"/>
      <c r="AT105" s="1045"/>
      <c r="AU105" s="1045"/>
      <c r="AV105" s="1045"/>
      <c r="AW105" s="1045"/>
      <c r="AX105" s="1045"/>
      <c r="AY105" s="1045"/>
      <c r="AZ105" s="1045"/>
      <c r="BA105" s="1045"/>
      <c r="BB105" s="1045"/>
      <c r="BC105" s="1045"/>
      <c r="BD105" s="1045"/>
      <c r="BE105" s="1045"/>
      <c r="BF105" s="1045"/>
      <c r="BG105" s="1045"/>
      <c r="BH105" s="1045"/>
      <c r="BI105" s="1045"/>
      <c r="BJ105" s="1045"/>
      <c r="BK105" s="1045"/>
      <c r="BL105" s="1045"/>
      <c r="BM105" s="1045"/>
      <c r="BN105" s="1045"/>
      <c r="BO105" s="1045"/>
      <c r="BP105" s="1045"/>
      <c r="BQ105" s="1045"/>
      <c r="BR105" s="1045"/>
      <c r="BS105" s="1045"/>
      <c r="BT105" s="1045"/>
      <c r="BU105" s="1045"/>
      <c r="BV105" s="1045"/>
    </row>
    <row r="106" spans="1:74" s="1046" customFormat="1" ht="30">
      <c r="A106" s="1012">
        <v>89</v>
      </c>
      <c r="B106" s="1036" t="s">
        <v>1321</v>
      </c>
      <c r="C106" s="1037">
        <v>58313</v>
      </c>
      <c r="D106" s="1045"/>
      <c r="E106" s="1045"/>
      <c r="F106" s="1045"/>
      <c r="G106" s="1045"/>
      <c r="H106" s="1045"/>
      <c r="I106" s="1045"/>
      <c r="J106" s="1045"/>
      <c r="K106" s="1045"/>
      <c r="L106" s="1045"/>
      <c r="M106" s="1045"/>
      <c r="N106" s="1045"/>
      <c r="O106" s="1045"/>
      <c r="P106" s="1045"/>
      <c r="Q106" s="1045"/>
      <c r="R106" s="1045"/>
      <c r="S106" s="1045"/>
      <c r="T106" s="1045"/>
      <c r="U106" s="1045"/>
      <c r="V106" s="1045"/>
      <c r="W106" s="1045"/>
      <c r="X106" s="1045"/>
      <c r="Y106" s="1045"/>
      <c r="Z106" s="1045"/>
      <c r="AA106" s="1045"/>
      <c r="AB106" s="1045"/>
      <c r="AC106" s="1045"/>
      <c r="AD106" s="1045"/>
      <c r="AE106" s="1045"/>
      <c r="AF106" s="1045"/>
      <c r="AG106" s="1045"/>
      <c r="AH106" s="1045"/>
      <c r="AI106" s="1045"/>
      <c r="AJ106" s="1045"/>
      <c r="AK106" s="1045"/>
      <c r="AL106" s="1045"/>
      <c r="AM106" s="1045"/>
      <c r="AN106" s="1045"/>
      <c r="AO106" s="1045"/>
      <c r="AP106" s="1045"/>
      <c r="AQ106" s="1045"/>
      <c r="AR106" s="1045"/>
      <c r="AS106" s="1045"/>
      <c r="AT106" s="1045"/>
      <c r="AU106" s="1045"/>
      <c r="AV106" s="1045"/>
      <c r="AW106" s="1045"/>
      <c r="AX106" s="1045"/>
      <c r="AY106" s="1045"/>
      <c r="AZ106" s="1045"/>
      <c r="BA106" s="1045"/>
      <c r="BB106" s="1045"/>
      <c r="BC106" s="1045"/>
      <c r="BD106" s="1045"/>
      <c r="BE106" s="1045"/>
      <c r="BF106" s="1045"/>
      <c r="BG106" s="1045"/>
      <c r="BH106" s="1045"/>
      <c r="BI106" s="1045"/>
      <c r="BJ106" s="1045"/>
      <c r="BK106" s="1045"/>
      <c r="BL106" s="1045"/>
      <c r="BM106" s="1045"/>
      <c r="BN106" s="1045"/>
      <c r="BO106" s="1045"/>
      <c r="BP106" s="1045"/>
      <c r="BQ106" s="1045"/>
      <c r="BR106" s="1045"/>
      <c r="BS106" s="1045"/>
      <c r="BT106" s="1045"/>
      <c r="BU106" s="1045"/>
      <c r="BV106" s="1045"/>
    </row>
    <row r="107" spans="1:74" s="1046" customFormat="1" ht="30">
      <c r="A107" s="1012">
        <v>90</v>
      </c>
      <c r="B107" s="1036" t="s">
        <v>1322</v>
      </c>
      <c r="C107" s="1037">
        <v>83438</v>
      </c>
      <c r="D107" s="1045"/>
      <c r="E107" s="1045"/>
      <c r="F107" s="1045"/>
      <c r="G107" s="1045"/>
      <c r="H107" s="1045"/>
      <c r="I107" s="1045"/>
      <c r="J107" s="1045"/>
      <c r="K107" s="1045"/>
      <c r="L107" s="1045"/>
      <c r="M107" s="1045"/>
      <c r="N107" s="1045"/>
      <c r="O107" s="1045"/>
      <c r="P107" s="1045"/>
      <c r="Q107" s="1045"/>
      <c r="R107" s="1045"/>
      <c r="S107" s="1045"/>
      <c r="T107" s="1045"/>
      <c r="U107" s="1045"/>
      <c r="V107" s="1045"/>
      <c r="W107" s="1045"/>
      <c r="X107" s="1045"/>
      <c r="Y107" s="1045"/>
      <c r="Z107" s="1045"/>
      <c r="AA107" s="1045"/>
      <c r="AB107" s="1045"/>
      <c r="AC107" s="1045"/>
      <c r="AD107" s="1045"/>
      <c r="AE107" s="1045"/>
      <c r="AF107" s="1045"/>
      <c r="AG107" s="1045"/>
      <c r="AH107" s="1045"/>
      <c r="AI107" s="1045"/>
      <c r="AJ107" s="1045"/>
      <c r="AK107" s="1045"/>
      <c r="AL107" s="1045"/>
      <c r="AM107" s="1045"/>
      <c r="AN107" s="1045"/>
      <c r="AO107" s="1045"/>
      <c r="AP107" s="1045"/>
      <c r="AQ107" s="1045"/>
      <c r="AR107" s="1045"/>
      <c r="AS107" s="1045"/>
      <c r="AT107" s="1045"/>
      <c r="AU107" s="1045"/>
      <c r="AV107" s="1045"/>
      <c r="AW107" s="1045"/>
      <c r="AX107" s="1045"/>
      <c r="AY107" s="1045"/>
      <c r="AZ107" s="1045"/>
      <c r="BA107" s="1045"/>
      <c r="BB107" s="1045"/>
      <c r="BC107" s="1045"/>
      <c r="BD107" s="1045"/>
      <c r="BE107" s="1045"/>
      <c r="BF107" s="1045"/>
      <c r="BG107" s="1045"/>
      <c r="BH107" s="1045"/>
      <c r="BI107" s="1045"/>
      <c r="BJ107" s="1045"/>
      <c r="BK107" s="1045"/>
      <c r="BL107" s="1045"/>
      <c r="BM107" s="1045"/>
      <c r="BN107" s="1045"/>
      <c r="BO107" s="1045"/>
      <c r="BP107" s="1045"/>
      <c r="BQ107" s="1045"/>
      <c r="BR107" s="1045"/>
      <c r="BS107" s="1045"/>
      <c r="BT107" s="1045"/>
      <c r="BU107" s="1045"/>
      <c r="BV107" s="1045"/>
    </row>
    <row r="108" spans="1:74" s="1046" customFormat="1" ht="30">
      <c r="A108" s="1012">
        <v>91</v>
      </c>
      <c r="B108" s="1036" t="s">
        <v>1364</v>
      </c>
      <c r="C108" s="1037">
        <f>147375.01+130626.49</f>
        <v>278001.5</v>
      </c>
      <c r="D108" s="1045"/>
      <c r="E108" s="1045"/>
      <c r="F108" s="1045"/>
      <c r="G108" s="1045"/>
      <c r="H108" s="1045"/>
      <c r="I108" s="1045"/>
      <c r="J108" s="1045"/>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c r="AH108" s="1045"/>
      <c r="AI108" s="1045"/>
      <c r="AJ108" s="1045"/>
      <c r="AK108" s="1045"/>
      <c r="AL108" s="1045"/>
      <c r="AM108" s="1045"/>
      <c r="AN108" s="1045"/>
      <c r="AO108" s="1045"/>
      <c r="AP108" s="1045"/>
      <c r="AQ108" s="1045"/>
      <c r="AR108" s="1045"/>
      <c r="AS108" s="1045"/>
      <c r="AT108" s="1045"/>
      <c r="AU108" s="1045"/>
      <c r="AV108" s="1045"/>
      <c r="AW108" s="1045"/>
      <c r="AX108" s="1045"/>
      <c r="AY108" s="1045"/>
      <c r="AZ108" s="1045"/>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row>
    <row r="109" spans="1:74" s="1046" customFormat="1" ht="60.75">
      <c r="A109" s="1012">
        <v>92</v>
      </c>
      <c r="B109" s="1036" t="s">
        <v>1361</v>
      </c>
      <c r="C109" s="1037">
        <v>293600</v>
      </c>
      <c r="D109" s="1045"/>
      <c r="E109" s="1045"/>
      <c r="F109" s="1045"/>
      <c r="G109" s="1045"/>
      <c r="H109" s="1045"/>
      <c r="I109" s="1045"/>
      <c r="J109" s="1045"/>
      <c r="K109" s="1045"/>
      <c r="L109" s="1045"/>
      <c r="M109" s="1045"/>
      <c r="N109" s="1045"/>
      <c r="O109" s="1045"/>
      <c r="P109" s="1045"/>
      <c r="Q109" s="1045"/>
      <c r="R109" s="1045"/>
      <c r="S109" s="1045"/>
      <c r="T109" s="1045"/>
      <c r="U109" s="1045"/>
      <c r="V109" s="1045"/>
      <c r="W109" s="1045"/>
      <c r="X109" s="1045"/>
      <c r="Y109" s="1045"/>
      <c r="Z109" s="1045"/>
      <c r="AA109" s="1045"/>
      <c r="AB109" s="1045"/>
      <c r="AC109" s="1045"/>
      <c r="AD109" s="1045"/>
      <c r="AE109" s="1045"/>
      <c r="AF109" s="1045"/>
      <c r="AG109" s="1045"/>
      <c r="AH109" s="1045"/>
      <c r="AI109" s="1045"/>
      <c r="AJ109" s="1045"/>
      <c r="AK109" s="1045"/>
      <c r="AL109" s="1045"/>
      <c r="AM109" s="1045"/>
      <c r="AN109" s="1045"/>
      <c r="AO109" s="1045"/>
      <c r="AP109" s="1045"/>
      <c r="AQ109" s="1045"/>
      <c r="AR109" s="1045"/>
      <c r="AS109" s="1045"/>
      <c r="AT109" s="1045"/>
      <c r="AU109" s="1045"/>
      <c r="AV109" s="1045"/>
      <c r="AW109" s="1045"/>
      <c r="AX109" s="1045"/>
      <c r="AY109" s="1045"/>
      <c r="AZ109" s="1045"/>
      <c r="BA109" s="1045"/>
      <c r="BB109" s="1045"/>
      <c r="BC109" s="1045"/>
      <c r="BD109" s="1045"/>
      <c r="BE109" s="1045"/>
      <c r="BF109" s="1045"/>
      <c r="BG109" s="1045"/>
      <c r="BH109" s="1045"/>
      <c r="BI109" s="1045"/>
      <c r="BJ109" s="1045"/>
      <c r="BK109" s="1045"/>
      <c r="BL109" s="1045"/>
      <c r="BM109" s="1045"/>
      <c r="BN109" s="1045"/>
      <c r="BO109" s="1045"/>
      <c r="BP109" s="1045"/>
      <c r="BQ109" s="1045"/>
      <c r="BR109" s="1045"/>
      <c r="BS109" s="1045"/>
      <c r="BT109" s="1045"/>
      <c r="BU109" s="1045"/>
      <c r="BV109" s="1045"/>
    </row>
    <row r="110" spans="1:74" s="1030" customFormat="1" ht="30">
      <c r="A110" s="1012">
        <v>93</v>
      </c>
      <c r="B110" s="1036" t="s">
        <v>1301</v>
      </c>
      <c r="C110" s="1037">
        <v>110000</v>
      </c>
      <c r="D110" s="1029"/>
      <c r="E110" s="1029"/>
      <c r="F110" s="1029"/>
      <c r="G110" s="1029"/>
      <c r="H110" s="1029"/>
      <c r="I110" s="1029"/>
      <c r="J110" s="1029"/>
      <c r="K110" s="1029"/>
      <c r="L110" s="1029"/>
      <c r="M110" s="1029"/>
      <c r="N110" s="1029"/>
      <c r="O110" s="1029"/>
      <c r="P110" s="1029"/>
      <c r="Q110" s="1029"/>
      <c r="R110" s="1029"/>
      <c r="S110" s="1029"/>
      <c r="T110" s="1029"/>
      <c r="U110" s="1029"/>
      <c r="V110" s="1029"/>
      <c r="W110" s="1029"/>
      <c r="X110" s="1029"/>
      <c r="Y110" s="1029"/>
      <c r="Z110" s="1029"/>
      <c r="AA110" s="1029"/>
      <c r="AB110" s="1029"/>
      <c r="AC110" s="1029"/>
      <c r="AD110" s="1029"/>
      <c r="AE110" s="1029"/>
      <c r="AF110" s="1029"/>
      <c r="AG110" s="1029"/>
      <c r="AH110" s="1029"/>
      <c r="AI110" s="1029"/>
      <c r="AJ110" s="1029"/>
      <c r="AK110" s="1029"/>
      <c r="AL110" s="1029"/>
      <c r="AM110" s="1029"/>
      <c r="AN110" s="1029"/>
      <c r="AO110" s="1029"/>
      <c r="AP110" s="1029"/>
      <c r="AQ110" s="1029"/>
      <c r="AR110" s="1029"/>
      <c r="AS110" s="1029"/>
      <c r="AT110" s="1029"/>
      <c r="AU110" s="1029"/>
      <c r="AV110" s="1029"/>
      <c r="AW110" s="1029"/>
      <c r="AX110" s="1029"/>
      <c r="AY110" s="1029"/>
      <c r="AZ110" s="1029"/>
      <c r="BA110" s="1029"/>
      <c r="BB110" s="1029"/>
      <c r="BC110" s="1029"/>
      <c r="BD110" s="1029"/>
      <c r="BE110" s="1029"/>
      <c r="BF110" s="1029"/>
      <c r="BG110" s="1029"/>
      <c r="BH110" s="1029"/>
      <c r="BI110" s="1029"/>
      <c r="BJ110" s="1029"/>
      <c r="BK110" s="1029"/>
      <c r="BL110" s="1029"/>
      <c r="BM110" s="1029"/>
      <c r="BN110" s="1029"/>
      <c r="BO110" s="1029"/>
      <c r="BP110" s="1029"/>
      <c r="BQ110" s="1029"/>
      <c r="BR110" s="1029"/>
      <c r="BS110" s="1029"/>
      <c r="BT110" s="1029"/>
      <c r="BU110" s="1029"/>
      <c r="BV110" s="1029"/>
    </row>
    <row r="111" spans="1:74" s="1030" customFormat="1" ht="60.75">
      <c r="A111" s="1012">
        <v>94</v>
      </c>
      <c r="B111" s="1034" t="s">
        <v>1901</v>
      </c>
      <c r="C111" s="1037">
        <f>C112</f>
        <v>1643108</v>
      </c>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29"/>
      <c r="AA111" s="1029"/>
      <c r="AB111" s="1029"/>
      <c r="AC111" s="1029"/>
      <c r="AD111" s="1029"/>
      <c r="AE111" s="1029"/>
      <c r="AF111" s="1029"/>
      <c r="AG111" s="1029"/>
      <c r="AH111" s="1029"/>
      <c r="AI111" s="1029"/>
      <c r="AJ111" s="1029"/>
      <c r="AK111" s="1029"/>
      <c r="AL111" s="1029"/>
      <c r="AM111" s="1029"/>
      <c r="AN111" s="1029"/>
      <c r="AO111" s="1029"/>
      <c r="AP111" s="1029"/>
      <c r="AQ111" s="1029"/>
      <c r="AR111" s="1029"/>
      <c r="AS111" s="1029"/>
      <c r="AT111" s="1029"/>
      <c r="AU111" s="1029"/>
      <c r="AV111" s="1029"/>
      <c r="AW111" s="1029"/>
      <c r="AX111" s="1029"/>
      <c r="AY111" s="1029"/>
      <c r="AZ111" s="1029"/>
      <c r="BA111" s="1029"/>
      <c r="BB111" s="1029"/>
      <c r="BC111" s="1029"/>
      <c r="BD111" s="1029"/>
      <c r="BE111" s="1029"/>
      <c r="BF111" s="1029"/>
      <c r="BG111" s="1029"/>
      <c r="BH111" s="1029"/>
      <c r="BI111" s="1029"/>
      <c r="BJ111" s="1029"/>
      <c r="BK111" s="1029"/>
      <c r="BL111" s="1029"/>
      <c r="BM111" s="1029"/>
      <c r="BN111" s="1029"/>
      <c r="BO111" s="1029"/>
      <c r="BP111" s="1029"/>
      <c r="BQ111" s="1029"/>
      <c r="BR111" s="1029"/>
      <c r="BS111" s="1029"/>
      <c r="BT111" s="1029"/>
      <c r="BU111" s="1029"/>
      <c r="BV111" s="1029"/>
    </row>
    <row r="112" spans="1:74" s="1030" customFormat="1" ht="91.5">
      <c r="A112" s="1012">
        <v>95</v>
      </c>
      <c r="B112" s="1036" t="s">
        <v>1393</v>
      </c>
      <c r="C112" s="1038">
        <v>1643108</v>
      </c>
      <c r="D112" s="1029"/>
      <c r="E112" s="1029"/>
      <c r="F112" s="1029"/>
      <c r="G112" s="1029"/>
      <c r="H112" s="1029"/>
      <c r="I112" s="1029"/>
      <c r="J112" s="1029"/>
      <c r="K112" s="1029"/>
      <c r="L112" s="1029"/>
      <c r="M112" s="1029"/>
      <c r="N112" s="1029"/>
      <c r="O112" s="1029"/>
      <c r="P112" s="1029"/>
      <c r="Q112" s="1029"/>
      <c r="R112" s="1029"/>
      <c r="S112" s="1029"/>
      <c r="T112" s="1029"/>
      <c r="U112" s="1029"/>
      <c r="V112" s="1029"/>
      <c r="W112" s="1029"/>
      <c r="X112" s="1029"/>
      <c r="Y112" s="1029"/>
      <c r="Z112" s="1029"/>
      <c r="AA112" s="1029"/>
      <c r="AB112" s="1029"/>
      <c r="AC112" s="1029"/>
      <c r="AD112" s="1029"/>
      <c r="AE112" s="1029"/>
      <c r="AF112" s="1029"/>
      <c r="AG112" s="1029"/>
      <c r="AH112" s="1029"/>
      <c r="AI112" s="1029"/>
      <c r="AJ112" s="1029"/>
      <c r="AK112" s="1029"/>
      <c r="AL112" s="1029"/>
      <c r="AM112" s="1029"/>
      <c r="AN112" s="1029"/>
      <c r="AO112" s="1029"/>
      <c r="AP112" s="1029"/>
      <c r="AQ112" s="1029"/>
      <c r="AR112" s="1029"/>
      <c r="AS112" s="1029"/>
      <c r="AT112" s="1029"/>
      <c r="AU112" s="1029"/>
      <c r="AV112" s="1029"/>
      <c r="AW112" s="1029"/>
      <c r="AX112" s="1029"/>
      <c r="AY112" s="1029"/>
      <c r="AZ112" s="1029"/>
      <c r="BA112" s="1029"/>
      <c r="BB112" s="1029"/>
      <c r="BC112" s="1029"/>
      <c r="BD112" s="1029"/>
      <c r="BE112" s="1029"/>
      <c r="BF112" s="1029"/>
      <c r="BG112" s="1029"/>
      <c r="BH112" s="1029"/>
      <c r="BI112" s="1029"/>
      <c r="BJ112" s="1029"/>
      <c r="BK112" s="1029"/>
      <c r="BL112" s="1029"/>
      <c r="BM112" s="1029"/>
      <c r="BN112" s="1029"/>
      <c r="BO112" s="1029"/>
      <c r="BP112" s="1029"/>
      <c r="BQ112" s="1029"/>
      <c r="BR112" s="1029"/>
      <c r="BS112" s="1029"/>
      <c r="BT112" s="1029"/>
      <c r="BU112" s="1029"/>
      <c r="BV112" s="1029"/>
    </row>
    <row r="113" spans="1:74" s="1046" customFormat="1" ht="30">
      <c r="A113" s="1012">
        <v>96</v>
      </c>
      <c r="B113" s="1032" t="s">
        <v>1876</v>
      </c>
      <c r="C113" s="1033">
        <f>C114</f>
        <v>8705279</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5"/>
      <c r="AA113" s="1045"/>
      <c r="AB113" s="1045"/>
      <c r="AC113" s="1045"/>
      <c r="AD113" s="1045"/>
      <c r="AE113" s="1045"/>
      <c r="AF113" s="1045"/>
      <c r="AG113" s="1045"/>
      <c r="AH113" s="1045"/>
      <c r="AI113" s="1045"/>
      <c r="AJ113" s="1045"/>
      <c r="AK113" s="1045"/>
      <c r="AL113" s="1045"/>
      <c r="AM113" s="1045"/>
      <c r="AN113" s="1045"/>
      <c r="AO113" s="1045"/>
      <c r="AP113" s="1045"/>
      <c r="AQ113" s="1045"/>
      <c r="AR113" s="1045"/>
      <c r="AS113" s="1045"/>
      <c r="AT113" s="1045"/>
      <c r="AU113" s="1045"/>
      <c r="AV113" s="1045"/>
      <c r="AW113" s="1045"/>
      <c r="AX113" s="1045"/>
      <c r="AY113" s="1045"/>
      <c r="AZ113" s="1045"/>
      <c r="BA113" s="1045"/>
      <c r="BB113" s="1045"/>
      <c r="BC113" s="1045"/>
      <c r="BD113" s="1045"/>
      <c r="BE113" s="1045"/>
      <c r="BF113" s="1045"/>
      <c r="BG113" s="1045"/>
      <c r="BH113" s="1045"/>
      <c r="BI113" s="1045"/>
      <c r="BJ113" s="1045"/>
      <c r="BK113" s="1045"/>
      <c r="BL113" s="1045"/>
      <c r="BM113" s="1045"/>
      <c r="BN113" s="1045"/>
      <c r="BO113" s="1045"/>
      <c r="BP113" s="1045"/>
      <c r="BQ113" s="1045"/>
      <c r="BR113" s="1045"/>
      <c r="BS113" s="1045"/>
      <c r="BT113" s="1045"/>
      <c r="BU113" s="1045"/>
      <c r="BV113" s="1045"/>
    </row>
    <row r="114" spans="1:74" s="1046" customFormat="1" ht="60.75">
      <c r="A114" s="1012">
        <v>97</v>
      </c>
      <c r="B114" s="1034" t="s">
        <v>1902</v>
      </c>
      <c r="C114" s="1035">
        <f>SUM(C115:C116)</f>
        <v>8705279</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5"/>
      <c r="AA114" s="1045"/>
      <c r="AB114" s="1045"/>
      <c r="AC114" s="1045"/>
      <c r="AD114" s="1045"/>
      <c r="AE114" s="1045"/>
      <c r="AF114" s="1045"/>
      <c r="AG114" s="1045"/>
      <c r="AH114" s="1045"/>
      <c r="AI114" s="1045"/>
      <c r="AJ114" s="1045"/>
      <c r="AK114" s="1045"/>
      <c r="AL114" s="1045"/>
      <c r="AM114" s="1045"/>
      <c r="AN114" s="1045"/>
      <c r="AO114" s="1045"/>
      <c r="AP114" s="1045"/>
      <c r="AQ114" s="1045"/>
      <c r="AR114" s="1045"/>
      <c r="AS114" s="1045"/>
      <c r="AT114" s="1045"/>
      <c r="AU114" s="1045"/>
      <c r="AV114" s="1045"/>
      <c r="AW114" s="1045"/>
      <c r="AX114" s="1045"/>
      <c r="AY114" s="1045"/>
      <c r="AZ114" s="1045"/>
      <c r="BA114" s="1045"/>
      <c r="BB114" s="1045"/>
      <c r="BC114" s="1045"/>
      <c r="BD114" s="1045"/>
      <c r="BE114" s="1045"/>
      <c r="BF114" s="1045"/>
      <c r="BG114" s="1045"/>
      <c r="BH114" s="1045"/>
      <c r="BI114" s="1045"/>
      <c r="BJ114" s="1045"/>
      <c r="BK114" s="1045"/>
      <c r="BL114" s="1045"/>
      <c r="BM114" s="1045"/>
      <c r="BN114" s="1045"/>
      <c r="BO114" s="1045"/>
      <c r="BP114" s="1045"/>
      <c r="BQ114" s="1045"/>
      <c r="BR114" s="1045"/>
      <c r="BS114" s="1045"/>
      <c r="BT114" s="1045"/>
      <c r="BU114" s="1045"/>
      <c r="BV114" s="1045"/>
    </row>
    <row r="115" spans="1:74" s="1046" customFormat="1" ht="122.25">
      <c r="A115" s="1012">
        <v>98</v>
      </c>
      <c r="B115" s="1036" t="s">
        <v>1422</v>
      </c>
      <c r="C115" s="1038">
        <v>6053279</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c r="AH115" s="1045"/>
      <c r="AI115" s="1045"/>
      <c r="AJ115" s="1045"/>
      <c r="AK115" s="1045"/>
      <c r="AL115" s="1045"/>
      <c r="AM115" s="1045"/>
      <c r="AN115" s="1045"/>
      <c r="AO115" s="1045"/>
      <c r="AP115" s="1045"/>
      <c r="AQ115" s="1045"/>
      <c r="AR115" s="1045"/>
      <c r="AS115" s="1045"/>
      <c r="AT115" s="1045"/>
      <c r="AU115" s="1045"/>
      <c r="AV115" s="1045"/>
      <c r="AW115" s="1045"/>
      <c r="AX115" s="1045"/>
      <c r="AY115" s="1045"/>
      <c r="AZ115" s="1045"/>
      <c r="BA115" s="1045"/>
      <c r="BB115" s="1045"/>
      <c r="BC115" s="1045"/>
      <c r="BD115" s="1045"/>
      <c r="BE115" s="1045"/>
      <c r="BF115" s="1045"/>
      <c r="BG115" s="1045"/>
      <c r="BH115" s="1045"/>
      <c r="BI115" s="1045"/>
      <c r="BJ115" s="1045"/>
      <c r="BK115" s="1045"/>
      <c r="BL115" s="1045"/>
      <c r="BM115" s="1045"/>
      <c r="BN115" s="1045"/>
      <c r="BO115" s="1045"/>
      <c r="BP115" s="1045"/>
      <c r="BQ115" s="1045"/>
      <c r="BR115" s="1045"/>
      <c r="BS115" s="1045"/>
      <c r="BT115" s="1045"/>
      <c r="BU115" s="1045"/>
      <c r="BV115" s="1045"/>
    </row>
    <row r="116" spans="1:74" s="1046" customFormat="1" ht="153">
      <c r="A116" s="1012">
        <v>99</v>
      </c>
      <c r="B116" s="1036" t="s">
        <v>1423</v>
      </c>
      <c r="C116" s="1038">
        <v>2652000</v>
      </c>
      <c r="D116" s="1045"/>
      <c r="E116" s="1045"/>
      <c r="F116" s="1045"/>
      <c r="G116" s="1045"/>
      <c r="H116" s="1045"/>
      <c r="I116" s="1045"/>
      <c r="J116" s="1045"/>
      <c r="K116" s="1045"/>
      <c r="L116" s="1045"/>
      <c r="M116" s="1045"/>
      <c r="N116" s="1045"/>
      <c r="O116" s="1045"/>
      <c r="P116" s="1045"/>
      <c r="Q116" s="1045"/>
      <c r="R116" s="1045"/>
      <c r="S116" s="1045"/>
      <c r="T116" s="1045"/>
      <c r="U116" s="1045"/>
      <c r="V116" s="1045"/>
      <c r="W116" s="1045"/>
      <c r="X116" s="1045"/>
      <c r="Y116" s="1045"/>
      <c r="Z116" s="1045"/>
      <c r="AA116" s="1045"/>
      <c r="AB116" s="1045"/>
      <c r="AC116" s="1045"/>
      <c r="AD116" s="1045"/>
      <c r="AE116" s="1045"/>
      <c r="AF116" s="1045"/>
      <c r="AG116" s="1045"/>
      <c r="AH116" s="1045"/>
      <c r="AI116" s="1045"/>
      <c r="AJ116" s="1045"/>
      <c r="AK116" s="1045"/>
      <c r="AL116" s="1045"/>
      <c r="AM116" s="1045"/>
      <c r="AN116" s="1045"/>
      <c r="AO116" s="1045"/>
      <c r="AP116" s="1045"/>
      <c r="AQ116" s="1045"/>
      <c r="AR116" s="1045"/>
      <c r="AS116" s="1045"/>
      <c r="AT116" s="1045"/>
      <c r="AU116" s="1045"/>
      <c r="AV116" s="1045"/>
      <c r="AW116" s="1045"/>
      <c r="AX116" s="1045"/>
      <c r="AY116" s="1045"/>
      <c r="AZ116" s="1045"/>
      <c r="BA116" s="1045"/>
      <c r="BB116" s="1045"/>
      <c r="BC116" s="1045"/>
      <c r="BD116" s="1045"/>
      <c r="BE116" s="1045"/>
      <c r="BF116" s="1045"/>
      <c r="BG116" s="1045"/>
      <c r="BH116" s="1045"/>
      <c r="BI116" s="1045"/>
      <c r="BJ116" s="1045"/>
      <c r="BK116" s="1045"/>
      <c r="BL116" s="1045"/>
      <c r="BM116" s="1045"/>
      <c r="BN116" s="1045"/>
      <c r="BO116" s="1045"/>
      <c r="BP116" s="1045"/>
      <c r="BQ116" s="1045"/>
      <c r="BR116" s="1045"/>
      <c r="BS116" s="1045"/>
      <c r="BT116" s="1045"/>
      <c r="BU116" s="1045"/>
      <c r="BV116" s="1045"/>
    </row>
    <row r="117" spans="1:71" s="1048" customFormat="1" ht="30">
      <c r="A117" s="1012">
        <v>100</v>
      </c>
      <c r="B117" s="1015" t="s">
        <v>1903</v>
      </c>
      <c r="C117" s="1047"/>
      <c r="D117" s="1029"/>
      <c r="E117" s="1029"/>
      <c r="F117" s="1029"/>
      <c r="G117" s="1029"/>
      <c r="H117" s="1029"/>
      <c r="I117" s="1029"/>
      <c r="J117" s="1029"/>
      <c r="K117" s="1029"/>
      <c r="L117" s="1029"/>
      <c r="M117" s="1029"/>
      <c r="N117" s="1029"/>
      <c r="O117" s="1029"/>
      <c r="P117" s="1029"/>
      <c r="Q117" s="1029"/>
      <c r="R117" s="1029"/>
      <c r="S117" s="1029"/>
      <c r="T117" s="1029"/>
      <c r="U117" s="1029"/>
      <c r="V117" s="1029"/>
      <c r="W117" s="1029"/>
      <c r="X117" s="1029"/>
      <c r="Y117" s="1029"/>
      <c r="Z117" s="1029"/>
      <c r="AA117" s="1029"/>
      <c r="AB117" s="1029"/>
      <c r="AC117" s="1029"/>
      <c r="AD117" s="1029"/>
      <c r="AE117" s="1029"/>
      <c r="AF117" s="1029"/>
      <c r="AG117" s="1029"/>
      <c r="AH117" s="1029"/>
      <c r="AI117" s="1029"/>
      <c r="AJ117" s="1029"/>
      <c r="AK117" s="1029"/>
      <c r="AL117" s="1029"/>
      <c r="AM117" s="1029"/>
      <c r="AN117" s="1029"/>
      <c r="AO117" s="1029"/>
      <c r="AP117" s="1029"/>
      <c r="AQ117" s="1029"/>
      <c r="AR117" s="1029"/>
      <c r="AS117" s="1029"/>
      <c r="AT117" s="1029"/>
      <c r="AU117" s="1029"/>
      <c r="AV117" s="1029"/>
      <c r="AW117" s="1029"/>
      <c r="AX117" s="1029"/>
      <c r="AY117" s="1029"/>
      <c r="AZ117" s="1029"/>
      <c r="BA117" s="1029"/>
      <c r="BB117" s="1029"/>
      <c r="BC117" s="1029"/>
      <c r="BD117" s="1029"/>
      <c r="BE117" s="1029"/>
      <c r="BF117" s="1029"/>
      <c r="BG117" s="1029"/>
      <c r="BH117" s="1029"/>
      <c r="BI117" s="1029"/>
      <c r="BJ117" s="1029"/>
      <c r="BK117" s="1029"/>
      <c r="BL117" s="1029"/>
      <c r="BM117" s="1029"/>
      <c r="BN117" s="1029"/>
      <c r="BO117" s="1029"/>
      <c r="BP117" s="1029"/>
      <c r="BQ117" s="1029"/>
      <c r="BR117" s="1029"/>
      <c r="BS117" s="1029"/>
    </row>
    <row r="118" spans="1:71" s="1048" customFormat="1" ht="30">
      <c r="A118" s="1012">
        <v>101</v>
      </c>
      <c r="B118" s="1032" t="s">
        <v>1897</v>
      </c>
      <c r="C118" s="1049"/>
      <c r="D118" s="1029"/>
      <c r="E118" s="1029"/>
      <c r="F118" s="1029"/>
      <c r="G118" s="1029"/>
      <c r="H118" s="1029"/>
      <c r="I118" s="1029"/>
      <c r="J118" s="1029"/>
      <c r="K118" s="1029"/>
      <c r="L118" s="1029"/>
      <c r="M118" s="1029"/>
      <c r="N118" s="1029"/>
      <c r="O118" s="1029"/>
      <c r="P118" s="1029"/>
      <c r="Q118" s="1029"/>
      <c r="R118" s="1029"/>
      <c r="S118" s="1029"/>
      <c r="T118" s="1029"/>
      <c r="U118" s="1029"/>
      <c r="V118" s="1029"/>
      <c r="W118" s="1029"/>
      <c r="X118" s="1029"/>
      <c r="Y118" s="1029"/>
      <c r="Z118" s="1029"/>
      <c r="AA118" s="1029"/>
      <c r="AB118" s="1029"/>
      <c r="AC118" s="1029"/>
      <c r="AD118" s="1029"/>
      <c r="AE118" s="1029"/>
      <c r="AF118" s="1029"/>
      <c r="AG118" s="1029"/>
      <c r="AH118" s="1029"/>
      <c r="AI118" s="1029"/>
      <c r="AJ118" s="1029"/>
      <c r="AK118" s="1029"/>
      <c r="AL118" s="1029"/>
      <c r="AM118" s="1029"/>
      <c r="AN118" s="1029"/>
      <c r="AO118" s="1029"/>
      <c r="AP118" s="1029"/>
      <c r="AQ118" s="1029"/>
      <c r="AR118" s="1029"/>
      <c r="AS118" s="1029"/>
      <c r="AT118" s="1029"/>
      <c r="AU118" s="1029"/>
      <c r="AV118" s="1029"/>
      <c r="AW118" s="1029"/>
      <c r="AX118" s="1029"/>
      <c r="AY118" s="1029"/>
      <c r="AZ118" s="1029"/>
      <c r="BA118" s="1029"/>
      <c r="BB118" s="1029"/>
      <c r="BC118" s="1029"/>
      <c r="BD118" s="1029"/>
      <c r="BE118" s="1029"/>
      <c r="BF118" s="1029"/>
      <c r="BG118" s="1029"/>
      <c r="BH118" s="1029"/>
      <c r="BI118" s="1029"/>
      <c r="BJ118" s="1029"/>
      <c r="BK118" s="1029"/>
      <c r="BL118" s="1029"/>
      <c r="BM118" s="1029"/>
      <c r="BN118" s="1029"/>
      <c r="BO118" s="1029"/>
      <c r="BP118" s="1029"/>
      <c r="BQ118" s="1029"/>
      <c r="BR118" s="1029"/>
      <c r="BS118" s="1029"/>
    </row>
    <row r="119" spans="1:71" s="1048" customFormat="1" ht="60.75">
      <c r="A119" s="1012">
        <v>102</v>
      </c>
      <c r="B119" s="1034" t="s">
        <v>1853</v>
      </c>
      <c r="C119" s="1018"/>
      <c r="D119" s="1029"/>
      <c r="E119" s="1029"/>
      <c r="F119" s="1029"/>
      <c r="G119" s="1029"/>
      <c r="H119" s="1029"/>
      <c r="I119" s="1029"/>
      <c r="J119" s="1029"/>
      <c r="K119" s="1029"/>
      <c r="L119" s="1029"/>
      <c r="M119" s="1029"/>
      <c r="N119" s="1029"/>
      <c r="O119" s="1029"/>
      <c r="P119" s="1029"/>
      <c r="Q119" s="1029"/>
      <c r="R119" s="1029"/>
      <c r="S119" s="1029"/>
      <c r="T119" s="1029"/>
      <c r="U119" s="1029"/>
      <c r="V119" s="1029"/>
      <c r="W119" s="1029"/>
      <c r="X119" s="1029"/>
      <c r="Y119" s="1029"/>
      <c r="Z119" s="1029"/>
      <c r="AA119" s="1029"/>
      <c r="AB119" s="1029"/>
      <c r="AC119" s="1029"/>
      <c r="AD119" s="1029"/>
      <c r="AE119" s="1029"/>
      <c r="AF119" s="1029"/>
      <c r="AG119" s="1029"/>
      <c r="AH119" s="1029"/>
      <c r="AI119" s="1029"/>
      <c r="AJ119" s="1029"/>
      <c r="AK119" s="1029"/>
      <c r="AL119" s="1029"/>
      <c r="AM119" s="1029"/>
      <c r="AN119" s="1029"/>
      <c r="AO119" s="1029"/>
      <c r="AP119" s="1029"/>
      <c r="AQ119" s="1029"/>
      <c r="AR119" s="1029"/>
      <c r="AS119" s="1029"/>
      <c r="AT119" s="1029"/>
      <c r="AU119" s="1029"/>
      <c r="AV119" s="1029"/>
      <c r="AW119" s="1029"/>
      <c r="AX119" s="1029"/>
      <c r="AY119" s="1029"/>
      <c r="AZ119" s="1029"/>
      <c r="BA119" s="1029"/>
      <c r="BB119" s="1029"/>
      <c r="BC119" s="1029"/>
      <c r="BD119" s="1029"/>
      <c r="BE119" s="1029"/>
      <c r="BF119" s="1029"/>
      <c r="BG119" s="1029"/>
      <c r="BH119" s="1029"/>
      <c r="BI119" s="1029"/>
      <c r="BJ119" s="1029"/>
      <c r="BK119" s="1029"/>
      <c r="BL119" s="1029"/>
      <c r="BM119" s="1029"/>
      <c r="BN119" s="1029"/>
      <c r="BO119" s="1029"/>
      <c r="BP119" s="1029"/>
      <c r="BQ119" s="1029"/>
      <c r="BR119" s="1029"/>
      <c r="BS119" s="1029"/>
    </row>
    <row r="120" spans="1:71" s="1048" customFormat="1" ht="153">
      <c r="A120" s="1012">
        <v>103</v>
      </c>
      <c r="B120" s="1050" t="s">
        <v>1904</v>
      </c>
      <c r="C120" s="1018"/>
      <c r="D120" s="1029"/>
      <c r="E120" s="1029"/>
      <c r="F120" s="1029"/>
      <c r="G120" s="1029"/>
      <c r="H120" s="1029"/>
      <c r="I120" s="1029"/>
      <c r="J120" s="1029"/>
      <c r="K120" s="1029"/>
      <c r="L120" s="1029"/>
      <c r="M120" s="1029"/>
      <c r="N120" s="1029"/>
      <c r="O120" s="1029"/>
      <c r="P120" s="1029"/>
      <c r="Q120" s="1029"/>
      <c r="R120" s="1029"/>
      <c r="S120" s="1029"/>
      <c r="T120" s="1029"/>
      <c r="U120" s="1029"/>
      <c r="V120" s="1029"/>
      <c r="W120" s="1029"/>
      <c r="X120" s="1029"/>
      <c r="Y120" s="1029"/>
      <c r="Z120" s="1029"/>
      <c r="AA120" s="1029"/>
      <c r="AB120" s="1029"/>
      <c r="AC120" s="1029"/>
      <c r="AD120" s="1029"/>
      <c r="AE120" s="1029"/>
      <c r="AF120" s="1029"/>
      <c r="AG120" s="1029"/>
      <c r="AH120" s="1029"/>
      <c r="AI120" s="1029"/>
      <c r="AJ120" s="1029"/>
      <c r="AK120" s="1029"/>
      <c r="AL120" s="1029"/>
      <c r="AM120" s="1029"/>
      <c r="AN120" s="1029"/>
      <c r="AO120" s="1029"/>
      <c r="AP120" s="1029"/>
      <c r="AQ120" s="1029"/>
      <c r="AR120" s="1029"/>
      <c r="AS120" s="1029"/>
      <c r="AT120" s="1029"/>
      <c r="AU120" s="1029"/>
      <c r="AV120" s="1029"/>
      <c r="AW120" s="1029"/>
      <c r="AX120" s="1029"/>
      <c r="AY120" s="1029"/>
      <c r="AZ120" s="1029"/>
      <c r="BA120" s="1029"/>
      <c r="BB120" s="1029"/>
      <c r="BC120" s="1029"/>
      <c r="BD120" s="1029"/>
      <c r="BE120" s="1029"/>
      <c r="BF120" s="1029"/>
      <c r="BG120" s="1029"/>
      <c r="BH120" s="1029"/>
      <c r="BI120" s="1029"/>
      <c r="BJ120" s="1029"/>
      <c r="BK120" s="1029"/>
      <c r="BL120" s="1029"/>
      <c r="BM120" s="1029"/>
      <c r="BN120" s="1029"/>
      <c r="BO120" s="1029"/>
      <c r="BP120" s="1029"/>
      <c r="BQ120" s="1029"/>
      <c r="BR120" s="1029"/>
      <c r="BS120" s="1029"/>
    </row>
    <row r="121" spans="1:71" s="1048" customFormat="1" ht="153">
      <c r="A121" s="1012">
        <v>104</v>
      </c>
      <c r="B121" s="1050" t="s">
        <v>1905</v>
      </c>
      <c r="C121" s="1018"/>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29"/>
      <c r="AA121" s="1029"/>
      <c r="AB121" s="1029"/>
      <c r="AC121" s="1029"/>
      <c r="AD121" s="1029"/>
      <c r="AE121" s="1029"/>
      <c r="AF121" s="1029"/>
      <c r="AG121" s="1029"/>
      <c r="AH121" s="1029"/>
      <c r="AI121" s="1029"/>
      <c r="AJ121" s="1029"/>
      <c r="AK121" s="1029"/>
      <c r="AL121" s="1029"/>
      <c r="AM121" s="1029"/>
      <c r="AN121" s="1029"/>
      <c r="AO121" s="1029"/>
      <c r="AP121" s="1029"/>
      <c r="AQ121" s="1029"/>
      <c r="AR121" s="1029"/>
      <c r="AS121" s="1029"/>
      <c r="AT121" s="1029"/>
      <c r="AU121" s="1029"/>
      <c r="AV121" s="1029"/>
      <c r="AW121" s="1029"/>
      <c r="AX121" s="1029"/>
      <c r="AY121" s="1029"/>
      <c r="AZ121" s="1029"/>
      <c r="BA121" s="1029"/>
      <c r="BB121" s="1029"/>
      <c r="BC121" s="1029"/>
      <c r="BD121" s="1029"/>
      <c r="BE121" s="1029"/>
      <c r="BF121" s="1029"/>
      <c r="BG121" s="1029"/>
      <c r="BH121" s="1029"/>
      <c r="BI121" s="1029"/>
      <c r="BJ121" s="1029"/>
      <c r="BK121" s="1029"/>
      <c r="BL121" s="1029"/>
      <c r="BM121" s="1029"/>
      <c r="BN121" s="1029"/>
      <c r="BO121" s="1029"/>
      <c r="BP121" s="1029"/>
      <c r="BQ121" s="1029"/>
      <c r="BR121" s="1029"/>
      <c r="BS121" s="1029"/>
    </row>
  </sheetData>
  <sheetProtection/>
  <mergeCells count="1">
    <mergeCell ref="B2:C2"/>
  </mergeCells>
  <printOptions/>
  <pageMargins left="0.35433070866141736" right="0.1968503937007874" top="0.2362204724409449" bottom="0.31496062992125984" header="0.15748031496062992" footer="0.2755905511811024"/>
  <pageSetup fitToHeight="38"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plan3</cp:lastModifiedBy>
  <cp:lastPrinted>2020-07-28T09:54:19Z</cp:lastPrinted>
  <dcterms:created xsi:type="dcterms:W3CDTF">2014-01-17T10:52:16Z</dcterms:created>
  <dcterms:modified xsi:type="dcterms:W3CDTF">2020-07-29T11:43:34Z</dcterms:modified>
  <cp:category/>
  <cp:version/>
  <cp:contentType/>
  <cp:contentStatus/>
</cp:coreProperties>
</file>